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192.168.122.31\техприс\!!! РТК\!!! РТК выпадающие 2024\РТК Ставки 22-24гг\"/>
    </mc:Choice>
  </mc:AlternateContent>
  <xr:revisionPtr revIDLastSave="0" documentId="13_ncr:1_{EE34937E-95C2-4675-BB60-ED8A455B46E0}" xr6:coauthVersionLast="47" xr6:coauthVersionMax="47" xr10:uidLastSave="{00000000-0000-0000-0000-000000000000}"/>
  <bookViews>
    <workbookView xWindow="28680" yWindow="2100" windowWidth="29040" windowHeight="15990" tabRatio="585" firstSheet="3" activeTab="3" xr2:uid="{00000000-000D-0000-FFFF-FFFF00000000}"/>
  </bookViews>
  <sheets>
    <sheet name="Отчет 20-22 (изн" sheetId="3" state="hidden" r:id="rId1"/>
    <sheet name="Отчет 20-22 в тыс" sheetId="2" state="hidden" r:id="rId2"/>
    <sheet name="Отчет 20-22 в тыс.не объед" sheetId="5" state="hidden" r:id="rId3"/>
    <sheet name="Приложение 1 (2)" sheetId="6" r:id="rId4"/>
    <sheet name="Приложение 1" sheetId="4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b">#REF!</definedName>
    <definedName name="\c">#REF!</definedName>
    <definedName name="\d">#REF!</definedName>
    <definedName name="\q">#REF!</definedName>
    <definedName name="\t">#REF!</definedName>
    <definedName name="\v">#REF!</definedName>
    <definedName name="_xlnm._FilterDatabase" localSheetId="0" hidden="1">'Отчет 20-22 (изн'!$A$5:$G$406</definedName>
    <definedName name="_xlnm._FilterDatabase" localSheetId="1" hidden="1">'Отчет 20-22 в тыс'!$A$5:$G$761</definedName>
    <definedName name="_xlnm._FilterDatabase" localSheetId="2" hidden="1">'Отчет 20-22 в тыс.не объед'!$A$5:$G$761</definedName>
    <definedName name="_xlnm._FilterDatabase" localSheetId="4" hidden="1">'Приложение 1'!$A$5:$G$700</definedName>
    <definedName name="_xlnm._FilterDatabase" localSheetId="3" hidden="1">'Приложение 1 (2)'!$A$129:$G$250</definedName>
    <definedName name="CompOt">[0]!CompOt</definedName>
    <definedName name="CompRas">[0]!CompRas</definedName>
    <definedName name="Contents">[1]Содержание!$A$3</definedName>
    <definedName name="Fider">#REF!</definedName>
    <definedName name="H?Address">[1]Заголовок!$B$7:$G$7</definedName>
    <definedName name="H?Description">[1]Заголовок!$A$4</definedName>
    <definedName name="H?EntityName">[1]Заголовок!$B$6:$G$6</definedName>
    <definedName name="H?Name">[1]Заголовок!$G$1</definedName>
    <definedName name="H?OKATO">[1]Заголовок!$D$12</definedName>
    <definedName name="H?OKFS">[1]Заголовок!$G$12</definedName>
    <definedName name="H?OKOGU">[1]Заголовок!$E$12</definedName>
    <definedName name="H?OKONX">[1]Заголовок!$C$12</definedName>
    <definedName name="H?OKOPF">[1]Заголовок!$F$12</definedName>
    <definedName name="H?OKPO">[1]Заголовок!$A$12</definedName>
    <definedName name="H?OKVD">[1]Заголовок!$B$12</definedName>
    <definedName name="H?Period">[1]Заголовок!$B$14</definedName>
    <definedName name="H?Table">[1]Заголовок!$A$4:$G$15</definedName>
    <definedName name="H?Title">[1]Заголовок!$A$2</definedName>
    <definedName name="Helper_ТЭС_Котельные">[2]Справочники!$A$2:$A$4,[2]Справочники!$A$16:$A$18</definedName>
    <definedName name="I97I">#REF!</definedName>
    <definedName name="IROV">#REF!</definedName>
    <definedName name="IV">#REF!</definedName>
    <definedName name="KOM_RAS">#REF!</definedName>
    <definedName name="KOMANDIR">[3]Нива!$I$101</definedName>
    <definedName name="KOMANDIROV">#REF!</definedName>
    <definedName name="KOMMAND">#REF!</definedName>
    <definedName name="KOMMANDIROV">#REF!</definedName>
    <definedName name="LABEL">#REF!</definedName>
    <definedName name="MATERIAL">#REF!</definedName>
    <definedName name="P1_ESO_PROT" hidden="1">#REF!,#REF!,#REF!,#REF!,#REF!,#REF!,#REF!,#REF!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'[5]17 СМУП'!$E$13:$H$21,'[5]17 СМУП'!$J$9:$J$11,'[5]17 СМУП'!$J$13:$J$21,'[5]17 СМУП'!$E$24:$H$26,'[5]17 СМУП'!$E$28:$H$36,'[5]17 СМУП'!$J$24:$M$26,'[5]17 СМУП'!$J$28:$M$36,'[5]17 СМУП'!$E$39:$H$41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1_T1_Protect" hidden="1">[6]перекрестка!$J$42:$K$46,[6]перекрестка!$J$49,[6]перекрестка!$J$50:$K$54,[6]перекрестка!$J$55,[6]перекрестка!$J$56:$K$60,[6]перекрестка!$J$62:$K$66</definedName>
    <definedName name="P1_T16_Protect" hidden="1">'[6]16'!$G$10:$K$14,'[6]16'!$G$17:$K$17,'[6]16'!$G$20:$K$20,'[6]16'!$G$23:$K$23,'[6]16'!$G$26:$K$26,'[6]16'!$G$29:$K$29,'[6]16'!$G$33:$K$34,'[6]16'!$G$38:$K$40</definedName>
    <definedName name="P1_T17?L4">'[2]29'!$J$18:$J$25,'[2]29'!$G$18:$G$25,'[2]29'!$G$35:$G$42,'[2]29'!$J$35:$J$42,'[2]29'!$G$60,'[2]29'!$J$60,'[2]29'!$M$60,'[2]29'!$P$60,'[2]29'!$P$18:$P$25,'[2]29'!$G$9:$G$16</definedName>
    <definedName name="P1_T17?unit?РУБ.ГКАЛ">'[2]29'!$F$44:$F$51,'[2]29'!$I$44:$I$51,'[2]29'!$L$44:$L$51,'[2]29'!$F$18:$F$25,'[2]29'!$I$60,'[2]29'!$L$60,'[2]29'!$O$60,'[2]29'!$F$60,'[2]29'!$F$9:$F$16,'[2]29'!$I$9:$I$16</definedName>
    <definedName name="P1_T17?unit?ТГКАЛ">'[2]29'!$M$18:$M$25,'[2]29'!$J$18:$J$25,'[2]29'!$G$18:$G$25,'[2]29'!$G$35:$G$42,'[2]29'!$J$35:$J$42,'[2]29'!$G$60,'[2]29'!$J$60,'[2]29'!$M$60,'[2]29'!$P$60,'[2]29'!$G$9:$G$16</definedName>
    <definedName name="P1_T17_Protection">'[2]29'!$O$47:$P$51,'[2]29'!$L$47:$M$51,'[2]29'!$L$53:$M$53,'[2]29'!$L$55:$M$59,'[2]29'!$O$53:$P$53,'[2]29'!$O$55:$P$59,'[2]29'!$F$12:$G$16,'[2]29'!$F$10:$G$10</definedName>
    <definedName name="P1_T18.2_Protect" hidden="1">'[6]18.2'!$F$12:$J$19,'[6]18.2'!$F$22:$J$25,'[6]18.2'!$B$28:$J$37,'[6]18.2'!$F$39:$J$39,'[6]18.2'!$B$41:$J$43,'[6]18.2'!$F$47:$J$52,'[6]18.2'!$F$59:$J$59</definedName>
    <definedName name="P1_T20_Protection" hidden="1">'[2]20'!$E$4:$H$4,'[2]20'!$E$13:$H$13,'[2]20'!$E$16:$H$17,'[2]20'!$E$19:$H$19,'[2]20'!$J$4:$M$4,'[2]20'!$J$8:$M$11,'[2]20'!$J$13:$M$13,'[2]20'!$J$16:$M$17,'[2]20'!$J$19:$M$19</definedName>
    <definedName name="P1_T21_Protection">'[2]21'!$O$31:$S$33,'[2]21'!$E$11,'[2]21'!$G$11:$K$11,'[2]21'!$M$11,'[2]21'!$O$11:$S$11,'[2]21'!$E$14:$E$16,'[2]21'!$G$14:$K$16,'[2]21'!$M$14:$M$16,'[2]21'!$O$14:$S$16</definedName>
    <definedName name="P1_T23_Protection">'[2]23'!$F$9:$J$25,'[2]23'!$O$9:$P$25,'[2]23'!$A$32:$A$34,'[2]23'!$F$32:$J$34,'[2]23'!$O$32:$P$34,'[2]23'!$A$37:$A$53,'[2]23'!$F$37:$J$53,'[2]23'!$O$37:$P$53</definedName>
    <definedName name="P1_T25_protection">'[2]25'!$G$8:$J$21,'[2]25'!$G$24:$J$28,'[2]25'!$G$30:$J$33,'[2]25'!$G$35:$J$37,'[2]25'!$G$41:$J$42,'[2]25'!$L$8:$O$21,'[2]25'!$L$24:$O$28,'[2]25'!$L$30:$O$33</definedName>
    <definedName name="P1_T26_Protection">'[2]26'!$B$34:$B$36,'[2]26'!$F$8:$I$8,'[2]26'!$F$10:$I$11,'[2]26'!$F$13:$I$15,'[2]26'!$F$18:$I$19,'[2]26'!$F$22:$I$24,'[2]26'!$F$26:$I$26,'[2]26'!$F$29:$I$32</definedName>
    <definedName name="P1_T27_Protection">'[2]27'!$B$34:$B$36,'[2]27'!$F$8:$I$8,'[2]27'!$F$10:$I$11,'[2]27'!$F$13:$I$15,'[2]27'!$F$18:$I$19,'[2]27'!$F$22:$I$24,'[2]27'!$F$26:$I$26,'[2]27'!$F$29:$I$32</definedName>
    <definedName name="P1_T28?axis?R?ПЭ">'[2]28'!$D$16:$I$18,'[2]28'!$D$22:$I$24,'[2]28'!$D$28:$I$30,'[2]28'!$D$37:$I$39,'[2]28'!$D$42:$I$44,'[2]28'!$D$48:$I$50,'[2]28'!$D$54:$I$56,'[2]28'!$D$63:$I$65</definedName>
    <definedName name="P1_T28?axis?R?ПЭ?">'[2]28'!$B$16:$B$18,'[2]28'!$B$22:$B$24,'[2]28'!$B$28:$B$30,'[2]28'!$B$37:$B$39,'[2]28'!$B$42:$B$44,'[2]28'!$B$48:$B$50,'[2]28'!$B$54:$B$56,'[2]28'!$B$63:$B$65</definedName>
    <definedName name="P1_T28?Data">'[2]28'!$G$242:$H$265,'[2]28'!$D$242:$E$265,'[2]28'!$G$216:$H$239,'[2]28'!$D$268:$E$292,'[2]28'!$G$268:$H$292,'[2]28'!$D$216:$E$239,'[2]28'!$G$190:$H$213</definedName>
    <definedName name="P1_T28_Protection">'[2]28'!$B$74:$B$76,'[2]28'!$B$80:$B$82,'[2]28'!$B$89:$B$91,'[2]28'!$B$94:$B$96,'[2]28'!$B$100:$B$102,'[2]28'!$B$106:$B$108,'[2]28'!$B$115:$B$117,'[2]28'!$B$120:$B$122</definedName>
    <definedName name="P1_T4_Protect" hidden="1">'[6]4'!$G$20:$J$20,'[6]4'!$G$22:$J$22,'[6]4'!$G$24:$J$28,'[6]4'!$L$11:$O$17,'[6]4'!$L$20:$O$20,'[6]4'!$L$22:$O$22,'[6]4'!$L$24:$O$28,'[6]4'!$Q$11:$T$17,'[6]4'!$Q$20:$T$20</definedName>
    <definedName name="P1_T6_Protect" hidden="1">'[6]6'!$D$46:$H$55,'[6]6'!$J$46:$N$55,'[6]6'!$D$57:$H$59,'[6]6'!$J$57:$N$59,'[6]6'!$B$10:$B$19,'[6]6'!$D$10:$H$19,'[6]6'!$J$10:$N$19,'[6]6'!$D$21:$H$23,'[6]6'!$J$21:$N$23</definedName>
    <definedName name="P10_T1_Protect" hidden="1">[6]перекрестка!$F$42:$H$46,[6]перекрестка!$F$49:$G$49,[6]перекрестка!$F$50:$H$54,[6]перекрестка!$F$55:$G$55,[6]перекрестка!$F$56:$H$60</definedName>
    <definedName name="P10_T28_Protection">'[2]28'!$G$167:$H$169,'[2]28'!$D$172:$E$174,'[2]28'!$G$172:$H$174,'[2]28'!$D$178:$E$180,'[2]28'!$G$178:$H$181,'[2]28'!$D$184:$E$186,'[2]28'!$G$184:$H$186</definedName>
    <definedName name="P11_T1_Protect" hidden="1">[6]перекрестка!$F$62:$H$66,[6]перекрестка!$F$68:$H$72,[6]перекрестка!$F$74:$H$78,[6]перекрестка!$F$80:$H$84,[6]перекрестка!$F$89:$G$89</definedName>
    <definedName name="P11_T28_Protection">'[2]28'!$D$193:$E$195,'[2]28'!$G$193:$H$195,'[2]28'!$D$198:$E$200,'[2]28'!$G$198:$H$200,'[2]28'!$D$204:$E$206,'[2]28'!$G$204:$H$206,'[2]28'!$D$210:$E$212,'[2]28'!$B$68:$B$70</definedName>
    <definedName name="P12_T1_Protect" hidden="1">[6]перекрестка!$F$90:$H$94,[6]перекрестка!$F$95:$G$95,[6]перекрестка!$F$96:$H$100,[6]перекрестка!$F$102:$H$106,[6]перекрестка!$F$108:$H$112</definedName>
    <definedName name="P12_T28_Protection">P1_T28_Protection,P2_T28_Protection,P3_T28_Protection,P4_T28_Protection,P5_T28_Protection,P6_T28_Protection,P7_T28_Protection,P8_T28_Protection</definedName>
    <definedName name="P13_T1_Protect" hidden="1">[6]перекрестка!$F$114:$H$118,[6]перекрестка!$F$120:$H$124,[6]перекрестка!$F$127:$G$127,[6]перекрестка!$F$128:$H$132,[6]перекрестка!$F$133:$G$133</definedName>
    <definedName name="P14_T1_Protect" hidden="1">[6]перекрестка!$F$134:$H$138,[6]перекрестка!$F$140:$H$144,[6]перекрестка!$F$146:$H$150,[6]перекрестка!$F$152:$H$156,[6]перекрестка!$F$158:$H$162</definedName>
    <definedName name="P15_T1_Protect" hidden="1">[6]перекрестка!$J$158:$K$162,[6]перекрестка!$J$152:$K$156,[6]перекрестка!$J$146:$K$150,[6]перекрестка!$J$140:$K$144,[6]перекрестка!$J$11</definedName>
    <definedName name="P16_T1_Protect" hidden="1">[6]перекрестка!$J$12:$K$16,[6]перекрестка!$J$17,[6]перекрестка!$J$18:$K$22,[6]перекрестка!$J$24:$K$28,[6]перекрестка!$J$30:$K$34,[6]перекрестка!$F$23:$G$23</definedName>
    <definedName name="P17_T1_Protect" hidden="1">[6]перекрестка!$F$29:$G$29,[6]перекрестка!$F$61:$G$61,[6]перекрестка!$F$67:$G$67,[6]перекрестка!$F$101:$G$101,[6]перекрестка!$F$107:$G$107</definedName>
    <definedName name="P18_T1_Protect" hidden="1">[6]перекрестка!$F$139:$G$139,[6]перекрестка!$F$145:$G$145,[6]перекрестка!$J$36:$K$40,P1_T1_Protect,P2_T1_Protect,P3_T1_Protect,P4_T1_Protect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2_T1_Protect" hidden="1">[6]перекрестка!$J$68:$K$72,[6]перекрестка!$J$74:$K$78,[6]перекрестка!$J$80:$K$84,[6]перекрестка!$J$89,[6]перекрестка!$J$90:$K$94,[6]перекрестка!$J$95</definedName>
    <definedName name="P2_T17?L4">'[2]29'!$J$9:$J$16,'[2]29'!$M$9:$M$16,'[2]29'!$P$9:$P$16,'[2]29'!$G$44:$G$51,'[2]29'!$J$44:$J$51,'[2]29'!$M$44:$M$51,'[2]29'!$M$35:$M$42,'[2]29'!$P$35:$P$42,'[2]29'!$P$44:$P$51</definedName>
    <definedName name="P2_T17?unit?РУБ.ГКАЛ">'[2]29'!$I$18:$I$25,'[2]29'!$L$9:$L$16,'[2]29'!$L$18:$L$25,'[2]29'!$O$9:$O$16,'[2]29'!$F$35:$F$42,'[2]29'!$I$35:$I$42,'[2]29'!$L$35:$L$42,'[2]29'!$O$35:$O$51</definedName>
    <definedName name="P2_T17?unit?ТГКАЛ">'[2]29'!$J$9:$J$16,'[2]29'!$M$9:$M$16,'[2]29'!$P$9:$P$16,'[2]29'!$M$35:$M$42,'[2]29'!$P$35:$P$42,'[2]29'!$G$44:$G$51,'[2]29'!$J$44:$J$51,'[2]29'!$M$44:$M$51,'[2]29'!$P$44:$P$51</definedName>
    <definedName name="P2_T17_Protection">'[2]29'!$F$19:$G$19,'[2]29'!$F$21:$G$25,'[2]29'!$F$27:$G$27,'[2]29'!$F$29:$G$33,'[2]29'!$F$36:$G$36,'[2]29'!$F$38:$G$42,'[2]29'!$F$45:$G$45,'[2]29'!$F$47:$G$51</definedName>
    <definedName name="P2_T21_Protection">'[2]21'!$E$20:$E$22,'[2]21'!$G$20:$K$22,'[2]21'!$M$20:$M$22,'[2]21'!$O$20:$S$22,'[2]21'!$E$26:$E$28,'[2]21'!$G$26:$K$28,'[2]21'!$M$26:$M$28,'[2]21'!$O$26:$S$28</definedName>
    <definedName name="P2_T25_protection">'[2]25'!$L$35:$O$37,'[2]25'!$L$41:$O$42,'[2]25'!$Q$8:$T$21,'[2]25'!$Q$24:$T$28,'[2]25'!$Q$30:$T$33,'[2]25'!$Q$35:$T$37,'[2]25'!$Q$41:$T$42,'[2]25'!$B$35:$B$37</definedName>
    <definedName name="P2_T26_Protection">'[2]26'!$F$34:$I$36,'[2]26'!$K$8:$N$8,'[2]26'!$K$10:$N$11,'[2]26'!$K$13:$N$15,'[2]26'!$K$18:$N$19,'[2]26'!$K$22:$N$24,'[2]26'!$K$26:$N$26,'[2]26'!$K$29:$N$32</definedName>
    <definedName name="P2_T27_Protection">'[2]27'!$F$34:$I$36,'[2]27'!$K$8:$N$8,'[2]27'!$K$10:$N$11,'[2]27'!$K$13:$N$15,'[2]27'!$K$18:$N$19,'[2]27'!$K$22:$N$24,'[2]27'!$K$26:$N$26,'[2]27'!$K$29:$N$32</definedName>
    <definedName name="P2_T28?axis?R?ПЭ">'[2]28'!$D$68:$I$70,'[2]28'!$D$74:$I$76,'[2]28'!$D$80:$I$82,'[2]28'!$D$89:$I$91,'[2]28'!$D$94:$I$96,'[2]28'!$D$100:$I$102,'[2]28'!$D$106:$I$108,'[2]28'!$D$115:$I$117</definedName>
    <definedName name="P2_T28?axis?R?ПЭ?">'[2]28'!$B$68:$B$70,'[2]28'!$B$74:$B$76,'[2]28'!$B$80:$B$82,'[2]28'!$B$89:$B$91,'[2]28'!$B$94:$B$96,'[2]28'!$B$100:$B$102,'[2]28'!$B$106:$B$108,'[2]28'!$B$115:$B$117</definedName>
    <definedName name="P2_T28_Protection">'[2]28'!$B$126:$B$128,'[2]28'!$B$132:$B$134,'[2]28'!$B$141:$B$143,'[2]28'!$B$146:$B$148,'[2]28'!$B$152:$B$154,'[2]28'!$B$158:$B$160,'[2]28'!$B$167:$B$169</definedName>
    <definedName name="P2_T4_Protect" hidden="1">'[6]4'!$Q$22:$T$22,'[6]4'!$Q$24:$T$28,'[6]4'!$V$24:$Y$28,'[6]4'!$V$22:$Y$22,'[6]4'!$V$20:$Y$20,'[6]4'!$V$11:$Y$17,'[6]4'!$AA$11:$AD$17,'[6]4'!$AA$20:$AD$20,'[6]4'!$AA$22:$AD$22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3_T1_Protect" hidden="1">[6]перекрестка!$J$96:$K$100,[6]перекрестка!$J$102:$K$106,[6]перекрестка!$J$108:$K$112,[6]перекрестка!$J$114:$K$118,[6]перекрестка!$J$120:$K$124</definedName>
    <definedName name="P3_T17_Protection">'[2]29'!$F$53:$G$53,'[2]29'!$F$55:$G$59,'[2]29'!$I$55:$J$59,'[2]29'!$I$53:$J$53,'[2]29'!$I$47:$J$51,'[2]29'!$I$45:$J$45,'[2]29'!$I$38:$J$42,'[2]29'!$I$36:$J$36</definedName>
    <definedName name="P3_T21_Protection">'[2]21'!$E$31:$E$33,'[2]21'!$G$31:$K$33,'[2]21'!$B$14:$B$16,'[2]21'!$B$20:$B$22,'[2]21'!$B$26:$B$28,'[2]21'!$B$31:$B$33,'[2]21'!$M$31:$M$33,P1_T21_Protection</definedName>
    <definedName name="P3_T27_Protection">'[2]27'!$K$34:$N$36,'[2]27'!$P$8:$S$8,'[2]27'!$P$10:$S$11,'[2]27'!$P$13:$S$15,'[2]27'!$P$18:$S$19,'[2]27'!$P$22:$S$24,'[2]27'!$P$26:$S$26,'[2]27'!$P$29:$S$32</definedName>
    <definedName name="P3_T28?axis?R?ПЭ">'[2]28'!$D$120:$I$122,'[2]28'!$D$126:$I$128,'[2]28'!$D$132:$I$134,'[2]28'!$D$141:$I$143,'[2]28'!$D$146:$I$148,'[2]28'!$D$152:$I$154,'[2]28'!$D$158:$I$160</definedName>
    <definedName name="P3_T28?axis?R?ПЭ?">'[2]28'!$B$120:$B$122,'[2]28'!$B$126:$B$128,'[2]28'!$B$132:$B$134,'[2]28'!$B$141:$B$143,'[2]28'!$B$146:$B$148,'[2]28'!$B$152:$B$154,'[2]28'!$B$158:$B$160</definedName>
    <definedName name="P3_T28_Protection">'[2]28'!$B$172:$B$174,'[2]28'!$B$178:$B$180,'[2]28'!$B$184:$B$186,'[2]28'!$B$193:$B$195,'[2]28'!$B$198:$B$200,'[2]28'!$B$204:$B$206,'[2]28'!$B$210:$B$212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4_T1_Protect" hidden="1">[6]перекрестка!$J$127,[6]перекрестка!$J$128:$K$132,[6]перекрестка!$J$133,[6]перекрестка!$J$134:$K$138,[6]перекрестка!$N$11:$N$22,[6]перекрестка!$N$24:$N$28</definedName>
    <definedName name="P4_T17_Protection">'[2]29'!$I$29:$J$33,'[2]29'!$I$27:$J$27,'[2]29'!$I$21:$J$25,'[2]29'!$I$19:$J$19,'[2]29'!$I$12:$J$16,'[2]29'!$I$10:$J$10,'[2]29'!$L$10:$M$10,'[2]29'!$L$12:$M$16</definedName>
    <definedName name="P4_T28?axis?R?ПЭ">'[2]28'!$D$167:$I$169,'[2]28'!$D$172:$I$174,'[2]28'!$D$178:$I$180,'[2]28'!$D$184:$I$186,'[2]28'!$D$193:$I$195,'[2]28'!$D$198:$I$200,'[2]28'!$D$204:$I$206</definedName>
    <definedName name="P4_T28?axis?R?ПЭ?">'[2]28'!$B$167:$B$169,'[2]28'!$B$172:$B$174,'[2]28'!$B$178:$B$180,'[2]28'!$B$184:$B$186,'[2]28'!$B$193:$B$195,'[2]28'!$B$198:$B$200,'[2]28'!$B$204:$B$206</definedName>
    <definedName name="P4_T28_Protection">'[2]28'!$B$219:$B$221,'[2]28'!$B$224:$B$226,'[2]28'!$B$230:$B$232,'[2]28'!$B$236:$B$238,'[2]28'!$B$245:$B$247,'[2]28'!$B$250:$B$252,'[2]28'!$B$256:$B$258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5_T1_Protect" hidden="1">[6]перекрестка!$N$30:$N$34,[6]перекрестка!$N$36:$N$40,[6]перекрестка!$N$42:$N$46,[6]перекрестка!$N$49:$N$60,[6]перекрестка!$N$62:$N$66</definedName>
    <definedName name="P5_T17_Protection">'[2]29'!$L$19:$M$19,'[2]29'!$L$21:$M$27,'[2]29'!$L$29:$M$33,'[2]29'!$L$36:$M$36,'[2]29'!$L$38:$M$42,'[2]29'!$L$45:$M$45,'[2]29'!$O$10:$P$10,'[2]29'!$O$12:$P$16</definedName>
    <definedName name="P5_T28?axis?R?ПЭ">'[2]28'!$D$210:$I$212,'[2]28'!$D$219:$I$221,'[2]28'!$D$224:$I$226,'[2]28'!$D$230:$I$232,'[2]28'!$D$236:$I$238,'[2]28'!$D$245:$I$247,'[2]28'!$D$250:$I$252</definedName>
    <definedName name="P5_T28?axis?R?ПЭ?">'[2]28'!$B$210:$B$212,'[2]28'!$B$219:$B$221,'[2]28'!$B$224:$B$226,'[2]28'!$B$230:$B$232,'[2]28'!$B$236:$B$238,'[2]28'!$B$245:$B$247,'[2]28'!$B$250:$B$252</definedName>
    <definedName name="P5_T28_Protection">'[2]28'!$B$262:$B$264,'[2]28'!$B$271:$B$273,'[2]28'!$B$276:$B$278,'[2]28'!$B$282:$B$284,'[2]28'!$B$288:$B$291,'[2]28'!$B$11:$B$13,'[2]28'!$B$16:$B$18,'[2]28'!$B$22:$B$24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1_Protect" hidden="1">[6]перекрестка!$N$68:$N$72,[6]перекрестка!$N$74:$N$78,[6]перекрестка!$N$80:$N$84,[6]перекрестка!$N$89:$N$100,[6]перекрестка!$N$102:$N$106</definedName>
    <definedName name="P6_T17_Protection">'[2]29'!$O$19:$P$19,'[2]29'!$O$21:$P$25,'[2]29'!$O$27:$P$27,'[2]29'!$O$29:$P$33,'[2]29'!$O$36:$P$36,'[2]29'!$O$38:$P$42,'[2]29'!$O$45:$P$45,P1_T17_Protection</definedName>
    <definedName name="P6_T28?axis?R?ПЭ">'[2]28'!$D$256:$I$258,'[2]28'!$D$262:$I$264,'[2]28'!$D$271:$I$273,'[2]28'!$D$276:$I$278,'[2]28'!$D$282:$I$284,'[2]28'!$D$288:$I$291,'[2]28'!$D$11:$I$13,P1_T28?axis?R?ПЭ</definedName>
    <definedName name="P6_T28?axis?R?ПЭ?">'[2]28'!$B$256:$B$258,'[2]28'!$B$262:$B$264,'[2]28'!$B$271:$B$273,'[2]28'!$B$276:$B$278,'[2]28'!$B$282:$B$284,'[2]28'!$B$288:$B$291,'[2]28'!$B$11:$B$13,P1_T28?axis?R?ПЭ?</definedName>
    <definedName name="P6_T28_Protection">'[2]28'!$B$28:$B$30,'[2]28'!$B$37:$B$39,'[2]28'!$B$42:$B$44,'[2]28'!$B$48:$B$50,'[2]28'!$B$54:$B$56,'[2]28'!$B$63:$B$65,'[2]28'!$G$210:$H$212,'[2]28'!$D$11:$E$13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7_T1_Protect" hidden="1">[6]перекрестка!$N$108:$N$112,[6]перекрестка!$N$114:$N$118,[6]перекрестка!$N$120:$N$124,[6]перекрестка!$N$127:$N$138,[6]перекрестка!$N$140:$N$144</definedName>
    <definedName name="P7_T28_Protection">'[2]28'!$G$11:$H$13,'[2]28'!$D$16:$E$18,'[2]28'!$G$16:$H$18,'[2]28'!$D$22:$E$24,'[2]28'!$G$22:$H$24,'[2]28'!$D$28:$E$30,'[2]28'!$G$28:$H$30,'[2]28'!$D$37:$E$39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8_T1_Protect" hidden="1">[6]перекрестка!$N$146:$N$150,[6]перекрестка!$N$152:$N$156,[6]перекрестка!$N$158:$N$162,[6]перекрестка!$F$11:$G$11,[6]перекрестка!$F$12:$H$16</definedName>
    <definedName name="P8_T28_Protection">'[2]28'!$G$37:$H$39,'[2]28'!$D$42:$E$44,'[2]28'!$G$42:$H$44,'[2]28'!$D$48:$E$50,'[2]28'!$G$48:$H$50,'[2]28'!$D$54:$E$56,'[2]28'!$G$54:$H$56,'[2]28'!$D$89:$E$91</definedName>
    <definedName name="P9_T1_Protect" hidden="1">[6]перекрестка!$F$17:$G$17,[6]перекрестка!$F$18:$H$22,[6]перекрестка!$F$24:$H$28,[6]перекрестка!$F$30:$H$34,[6]перекрестка!$F$36:$H$40</definedName>
    <definedName name="P9_T28_Protection">'[2]28'!$G$89:$H$91,'[2]28'!$G$94:$H$96,'[2]28'!$D$94:$E$96,'[2]28'!$D$100:$E$102,'[2]28'!$G$100:$H$102,'[2]28'!$D$106:$E$108,'[2]28'!$G$106:$H$108,'[2]28'!$D$167:$E$169</definedName>
    <definedName name="QQQ">#REF!</definedName>
    <definedName name="RABOTA">#REF!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'[5]17 СМУП'!$J$39:$M$41,'[5]17 СМУП'!$E$43:$H$51,'[5]17 СМУП'!$J$43:$M$51,'[5]17 СМУП'!$E$54:$H$56,'[5]17 СМУП'!$E$58:$H$66,'[5]17 СМУП'!$E$69:$M$81,'[5]17 СМУП'!$E$9:$H$11,P1_SCOPE_17_PRT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PER_PRT">P5_SCOPE_PER_PRT,P6_SCOPE_PER_PRT,P7_SCOPE_PER_PRT,P8_SCOPE_PER_PRT</definedName>
    <definedName name="SCOPE_SPR_PRT">[4]Справочники!$D$21:$J$22,[4]Справочники!$E$13:$I$14,[4]Справочники!$F$27:$H$28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heet2?prefix?">"H"</definedName>
    <definedName name="T1?Columns">[1]перекрестка!$A$7:$O$7</definedName>
    <definedName name="T1?Scope">[1]перекрестка!$F$8:$O$163</definedName>
    <definedName name="T1_Protect">P15_T1_Protect,P16_T1_Protect,P17_T1_Protect,P18_T1_Protect,P19_T1_Protect</definedName>
    <definedName name="T11?Data">#N/A</definedName>
    <definedName name="T15?Columns">'[1]15'!$E$8:$I$8</definedName>
    <definedName name="T15?ItemComments">'[1]15'!$D$9:$D$75</definedName>
    <definedName name="T15?Items">'[1]15'!$C$9:$C$75</definedName>
    <definedName name="T15?Scope">'[1]15'!$E$9:$I$75</definedName>
    <definedName name="T15?ВРАС">'[1]15'!$B$36:$B$60</definedName>
    <definedName name="T15_Protect">'[6]15'!$E$25:$I$29,'[6]15'!$E$31:$I$34,'[6]15'!$E$36:$I$60,'[6]15'!$E$64:$I$65,'[6]15'!$E$9:$I$17,'[6]15'!$B$36:$B$60,'[6]15'!$E$19:$I$21</definedName>
    <definedName name="T16?Columns">'[1]16'!$G$6:$K$6</definedName>
    <definedName name="T16?ItemComments">'[1]16'!$F$7:$F$47</definedName>
    <definedName name="T16?Items">'[1]16'!$D$7:$D$47</definedName>
    <definedName name="T16?Scope">'[1]16'!$G$7:$K$47</definedName>
    <definedName name="T16?Units">'[1]16'!$E$7:$E$47</definedName>
    <definedName name="T16_Protect">'[6]16'!$G$44:$K$44,'[6]16'!$G$7:$K$8,P1_T16_Protect</definedName>
    <definedName name="T17.1?Equipment">'[1]17.1'!$B$7:$B$27</definedName>
    <definedName name="T17.1?ItemComments">'[1]17.1'!$D$4:$I$4</definedName>
    <definedName name="T17.1?Items">'[1]17.1'!$D$5:$I$5</definedName>
    <definedName name="T17.1?Scope">'[1]17.1'!$D$7:$I$27</definedName>
    <definedName name="T17.1_Protect">'[6]17.1'!$D$14:$F$17,'[6]17.1'!$D$19:$F$22,'[6]17.1'!$I$9:$I$12,'[6]17.1'!$I$14:$I$17,'[6]17.1'!$I$19:$I$22,'[6]17.1'!$D$9:$F$12</definedName>
    <definedName name="T17?Columns">'[1]17'!$D$6:$H$6</definedName>
    <definedName name="T17?ItemComments">'[1]17'!$B$7:$B$12</definedName>
    <definedName name="T17?Items">'[1]17'!$C$7:$C$12</definedName>
    <definedName name="T17?L7">'[2]29'!$L$60,'[2]29'!$O$60,'[2]29'!$F$60,'[2]29'!$I$60</definedName>
    <definedName name="T17?Scope">'[1]17'!$D$7:$H$12</definedName>
    <definedName name="T17?unit?ГКАЛЧ">'[2]29'!$M$26:$M$33,'[2]29'!$P$26:$P$33,'[2]29'!$G$52:$G$59,'[2]29'!$J$52:$J$59,'[2]29'!$M$52:$M$59,'[2]29'!$P$52:$P$59,'[2]29'!$G$26:$G$33,'[2]29'!$J$26:$J$33</definedName>
    <definedName name="T17?unit?РУБ.ГКАЛ">'[2]29'!$O$18:$O$25,P1_T17?unit?РУБ.ГКАЛ,P2_T17?unit?РУБ.ГКАЛ</definedName>
    <definedName name="T17?unit?ТГКАЛ">'[2]29'!$P$18:$P$25,P1_T17?unit?ТГКАЛ,P2_T17?unit?ТГКАЛ</definedName>
    <definedName name="T17?unit?ТРУБ.ГКАЛЧ.МЕС">'[2]29'!$L$26:$L$33,'[2]29'!$O$26:$O$33,'[2]29'!$F$52:$F$59,'[2]29'!$I$52:$I$59,'[2]29'!$L$52:$L$59,'[2]29'!$O$52:$O$59,'[2]29'!$F$26:$F$33,'[2]29'!$I$26:$I$33</definedName>
    <definedName name="T17_Protect" localSheetId="0">'[6]21.3'!$E$54:$I$57,'[6]21.3'!$E$10:$I$10,P1_T17_Protect</definedName>
    <definedName name="T17_Protect" localSheetId="1">'[6]21.3'!$E$54:$I$57,'[6]21.3'!$E$10:$I$10,P1_T17_Protect</definedName>
    <definedName name="T17_Protect" localSheetId="2">'[6]21.3'!$E$54:$I$57,'[6]21.3'!$E$10:$I$10,P1_T17_Protect</definedName>
    <definedName name="T17_Protect" localSheetId="4">'[6]21.3'!$E$54:$I$57,'[6]21.3'!$E$10:$I$10,P1_T17_Protect</definedName>
    <definedName name="T17_Protect" localSheetId="3">'[6]21.3'!$E$54:$I$57,'[6]21.3'!$E$10:$I$10,P1_T17_Protect</definedName>
    <definedName name="T17_Protect">'[6]21.3'!$E$54:$I$57,'[6]21.3'!$E$10:$I$10,P1_T17_Protect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 localSheetId="1">P1_T18.1?Data,P2_T18.1?Data</definedName>
    <definedName name="T18.1?Data" localSheetId="2">P1_T18.1?Data,P2_T18.1?Data</definedName>
    <definedName name="T18.1?Data" localSheetId="4">P1_T18.1?Data,P2_T18.1?Data</definedName>
    <definedName name="T18.1?Data" localSheetId="3">P1_T18.1?Data,P2_T18.1?Data</definedName>
    <definedName name="T18.1?Data">P1_T18.1?Data,P2_T18.1?Data</definedName>
    <definedName name="T18.2?Columns">'[1]18.2'!$F$5:$J$5</definedName>
    <definedName name="T18.2?item_ext?СБЫТ">'[6]18.2'!#REF!,'[6]18.2'!#REF!</definedName>
    <definedName name="T18.2?ItemComments">'[1]18.2'!$E$6:$E$64</definedName>
    <definedName name="T18.2?Items">'[1]18.2'!$C$6:$C$64</definedName>
    <definedName name="T18.2?Scope">'[1]18.2'!$F$6:$J$64</definedName>
    <definedName name="T18.2?Units">'[1]18.2'!$D$6:$D$64</definedName>
    <definedName name="T18.2?ВРАС">'[6]18.2'!$B$41:$B$43,'[6]18.2'!$B$28:$B$37</definedName>
    <definedName name="T18.2_Protect">'[6]18.2'!$F$63:$J$64,'[6]18.2'!$F$67:$J$67,'[6]18.2'!$F$69:$J$72,'[6]18.2'!$F$6:$J$8,P1_T18.2_Protect</definedName>
    <definedName name="T19.1.1?Data" localSheetId="0">P1_T19.1.1?Data,P2_T19.1.1?Data</definedName>
    <definedName name="T19.1.1?Data" localSheetId="1">P1_T19.1.1?Data,P2_T19.1.1?Data</definedName>
    <definedName name="T19.1.1?Data" localSheetId="2">P1_T19.1.1?Data,P2_T19.1.1?Data</definedName>
    <definedName name="T19.1.1?Data" localSheetId="4">P1_T19.1.1?Data,P2_T19.1.1?Data</definedName>
    <definedName name="T19.1.1?Data" localSheetId="3">P1_T19.1.1?Data,P2_T19.1.1?Data</definedName>
    <definedName name="T19.1.1?Data">P1_T19.1.1?Data,P2_T19.1.1?Data</definedName>
    <definedName name="T19.1.2?Data" localSheetId="0">P1_T19.1.2?Data,P2_T19.1.2?Data</definedName>
    <definedName name="T19.1.2?Data" localSheetId="1">P1_T19.1.2?Data,P2_T19.1.2?Data</definedName>
    <definedName name="T19.1.2?Data" localSheetId="2">P1_T19.1.2?Data,P2_T19.1.2?Data</definedName>
    <definedName name="T19.1.2?Data" localSheetId="4">P1_T19.1.2?Data,P2_T19.1.2?Data</definedName>
    <definedName name="T19.1.2?Data" localSheetId="3">P1_T19.1.2?Data,P2_T19.1.2?Data</definedName>
    <definedName name="T19.1.2?Data">P1_T19.1.2?Data,P2_T19.1.2?Data</definedName>
    <definedName name="T19.2?Data" localSheetId="0">P1_T19.2?Data,P2_T19.2?Data</definedName>
    <definedName name="T19.2?Data" localSheetId="1">P1_T19.2?Data,P2_T19.2?Data</definedName>
    <definedName name="T19.2?Data" localSheetId="2">P1_T19.2?Data,P2_T19.2?Data</definedName>
    <definedName name="T19.2?Data" localSheetId="4">P1_T19.2?Data,P2_T19.2?Data</definedName>
    <definedName name="T19.2?Data" localSheetId="3">P1_T19.2?Data,P2_T19.2?Data</definedName>
    <definedName name="T19.2?Data">P1_T19.2?Data,P2_T19.2?Data</definedName>
    <definedName name="T19?Data">'[2]19'!$J$8:$M$16,'[2]19'!$C$8:$H$16</definedName>
    <definedName name="T19_Protection">'[2]19'!$E$13:$H$13,'[2]19'!$E$15:$H$15,'[2]19'!$J$8:$M$11,'[2]19'!$J$13:$M$13,'[2]19'!$J$15:$M$15,'[2]19'!$E$4:$H$4,'[2]19'!$J$4:$M$4,'[2]19'!$E$8:$H$11</definedName>
    <definedName name="T2.1?Data">#N/A</definedName>
    <definedName name="T2.3_Protect">'[6]2.3'!$F$30:$G$34,'[6]2.3'!$H$24:$K$28</definedName>
    <definedName name="T2?Columns">'[1]3'!$E$6:$X$6</definedName>
    <definedName name="T20.1?Columns">'[1]20.1'!$B$6:$K$6</definedName>
    <definedName name="T20.1?Investments">'[1]20.1'!$A$7:$A$22</definedName>
    <definedName name="T20.1?Scope">'[1]20.1'!$B$7:$K$22</definedName>
    <definedName name="T20.1_Protect">'[1]20.1'!$A$8:$K$20</definedName>
    <definedName name="T20?Columns">'[1]20'!$E$6:$I$6</definedName>
    <definedName name="T20?ItemComments">'[1]20'!$D$7:$D$26</definedName>
    <definedName name="T20?Items">'[1]20'!$C$7:$C$26</definedName>
    <definedName name="T20?Scope">'[1]20'!$E$7:$I$26</definedName>
    <definedName name="T20?unit?МКВТЧ">'[2]20'!$C$13:$M$13,'[2]20'!$C$15:$M$19,'[2]20'!$C$8:$M$11</definedName>
    <definedName name="T20_Protect">'[6]20'!$E$13:$I$20,'[6]20'!$E$9:$I$10</definedName>
    <definedName name="T20_Protection">'[2]20'!$E$8:$H$11,P1_T20_Protection</definedName>
    <definedName name="T21.2.1?Data" localSheetId="0">P1_T21.2.1?Data,P2_T21.2.1?Data</definedName>
    <definedName name="T21.2.1?Data" localSheetId="1">P1_T21.2.1?Data,P2_T21.2.1?Data</definedName>
    <definedName name="T21.2.1?Data" localSheetId="2">P1_T21.2.1?Data,P2_T21.2.1?Data</definedName>
    <definedName name="T21.2.1?Data" localSheetId="4">P1_T21.2.1?Data,P2_T21.2.1?Data</definedName>
    <definedName name="T21.2.1?Data" localSheetId="3">P1_T21.2.1?Data,P2_T21.2.1?Data</definedName>
    <definedName name="T21.2.1?Data">P1_T21.2.1?Data,P2_T21.2.1?Data</definedName>
    <definedName name="T21.2.2?Data" localSheetId="0">P1_T21.2.2?Data,P2_T21.2.2?Data</definedName>
    <definedName name="T21.2.2?Data" localSheetId="1">P1_T21.2.2?Data,P2_T21.2.2?Data</definedName>
    <definedName name="T21.2.2?Data" localSheetId="2">P1_T21.2.2?Data,P2_T21.2.2?Data</definedName>
    <definedName name="T21.2.2?Data" localSheetId="4">P1_T21.2.2?Data,P2_T21.2.2?Data</definedName>
    <definedName name="T21.2.2?Data" localSheetId="3">P1_T21.2.2?Data,P2_T21.2.2?Data</definedName>
    <definedName name="T21.2.2?Data">P1_T21.2.2?Data,P2_T21.2.2?Data</definedName>
    <definedName name="T21.3?Columns">'[1]21.3'!$E$9:$I$9</definedName>
    <definedName name="T21.3?item_ext?СБЫТ">'[6]21.3'!#REF!,'[6]21.3'!#REF!</definedName>
    <definedName name="T21.3?ItemComments">'[1]21.3'!$D$10:$D$57</definedName>
    <definedName name="T21.3?Items">'[1]21.3'!$C$10:$C$57</definedName>
    <definedName name="T21.3?Scope">'[1]21.3'!$E$10:$I$57</definedName>
    <definedName name="T21.3?ВРАС">'[6]21.3'!$B$28:$B$30,'[6]21.3'!$B$48:$B$50</definedName>
    <definedName name="T21.3_Protect">'[6]21.3'!$E$19:$I$22,'[6]21.3'!$E$24:$I$25,'[6]21.3'!$B$28:$I$30,'[6]21.3'!$E$32:$I$32,'[6]21.3'!$E$35:$I$45,'[6]21.3'!$B$48:$I$50,'[6]21.3'!$E$13:$I$17</definedName>
    <definedName name="T21.4?Data" localSheetId="0">P1_T21.4?Data,P2_T21.4?Data</definedName>
    <definedName name="T21.4?Data" localSheetId="1">P1_T21.4?Data,P2_T21.4?Data</definedName>
    <definedName name="T21.4?Data" localSheetId="2">P1_T21.4?Data,P2_T21.4?Data</definedName>
    <definedName name="T21.4?Data" localSheetId="4">P1_T21.4?Data,P2_T21.4?Data</definedName>
    <definedName name="T21.4?Data" localSheetId="3">P1_T21.4?Data,P2_T21.4?Data</definedName>
    <definedName name="T21.4?Data">P1_T21.4?Data,P2_T21.4?Data</definedName>
    <definedName name="T21?axis?R?ПЭ">'[2]21'!$D$14:$S$16,'[2]21'!$D$26:$S$28,'[2]21'!$D$20:$S$22</definedName>
    <definedName name="T21?axis?R?ПЭ?">'[2]21'!$B$14:$B$16,'[2]21'!$B$26:$B$28,'[2]21'!$B$20:$B$22</definedName>
    <definedName name="T21?Data">'[2]21'!$D$14:$S$16,'[2]21'!$D$18:$S$18,'[2]21'!$D$20:$S$22,'[2]21'!$D$24:$S$24,'[2]21'!$D$26:$S$28,'[2]21'!$D$31:$S$33,'[2]21'!$D$11:$S$12</definedName>
    <definedName name="T21?L1">'[2]21'!$D$11:$S$12,'[2]21'!$D$14:$S$16,'[2]21'!$D$18:$S$18,'[2]21'!$D$20:$S$22,'[2]21'!$D$26:$S$28,'[2]21'!$D$24:$S$24</definedName>
    <definedName name="T21_Protection">P2_T21_Protection,P3_T21_Protection</definedName>
    <definedName name="T22?item_ext?ВСЕГО">'[2]22'!$E$8:$F$31,'[2]22'!$I$8:$J$31</definedName>
    <definedName name="T22?item_ext?ЭС">'[2]22'!$K$8:$L$31,'[2]22'!$G$8:$H$31</definedName>
    <definedName name="T22?L1">'[2]22'!$G$8:$G$31,'[2]22'!$I$8:$I$31,'[2]22'!$K$8:$K$31,'[2]22'!$E$8:$E$31</definedName>
    <definedName name="T22?L2">'[2]22'!$H$8:$H$31,'[2]22'!$J$8:$J$31,'[2]22'!$L$8:$L$31,'[2]22'!$F$8:$F$31</definedName>
    <definedName name="T22?unit?ГКАЛ.Ч">'[2]22'!$G$8:$G$31,'[2]22'!$I$8:$I$31,'[2]22'!$K$8:$K$31,'[2]22'!$E$8:$E$31</definedName>
    <definedName name="T22?unit?ТГКАЛ">'[2]22'!$H$8:$H$31,'[2]22'!$J$8:$J$31,'[2]22'!$L$8:$L$31,'[2]22'!$F$8:$F$31</definedName>
    <definedName name="T22_Protection">'[2]22'!$E$19:$L$23,'[2]22'!$E$25:$L$25,'[2]22'!$E$27:$L$31,'[2]22'!$E$17:$L$17</definedName>
    <definedName name="T23?axis?R?ВТОП">'[2]23'!$E$8:$P$30,'[2]23'!$E$36:$P$58</definedName>
    <definedName name="T23?axis?R?ВТОП?">'[2]23'!$C$8:$C$30,'[2]23'!$C$36:$C$58</definedName>
    <definedName name="T23?axis?R?ПЭ">'[2]23'!$E$8:$P$30,'[2]23'!$E$36:$P$58</definedName>
    <definedName name="T23?axis?R?ПЭ?">'[2]23'!$B$8:$B$30,'[2]23'!$B$36:$B$58</definedName>
    <definedName name="T23?axis?R?СЦТ">'[2]23'!$E$32:$P$34,'[2]23'!$E$60:$P$62</definedName>
    <definedName name="T23?axis?R?СЦТ?">'[2]23'!$A$60:$A$62,'[2]23'!$A$32:$A$34</definedName>
    <definedName name="T23?Data">'[2]23'!$E$37:$P$63,'[2]23'!$E$9:$P$35</definedName>
    <definedName name="T23?item_ext?ВСЕГО">'[2]23'!$A$55:$P$58,'[2]23'!$A$27:$P$30</definedName>
    <definedName name="T23?item_ext?ИТОГО">'[2]23'!$A$59:$P$59,'[2]23'!$A$31:$P$31</definedName>
    <definedName name="T23?item_ext?СЦТ">'[2]23'!$A$60:$P$62,'[2]23'!$A$32:$P$34</definedName>
    <definedName name="T23_Protection">'[2]23'!$A$60:$A$62,'[2]23'!$F$60:$J$62,'[2]23'!$O$60:$P$62,'[2]23'!$A$9:$A$25,P1_T23_Protection</definedName>
    <definedName name="T24?Columns">'[1]24'!$G$5:$K$5</definedName>
    <definedName name="T24?ItemComments">'[1]24'!$F$6:$F$45</definedName>
    <definedName name="T24?Items">'[1]24'!$D$6:$D$45</definedName>
    <definedName name="T24?Scope">'[1]24'!$G$6:$K$45</definedName>
    <definedName name="T24?Units">'[1]24'!$E$6:$E$45</definedName>
    <definedName name="T24?НАП">'[1]24'!$B$6:$B$45</definedName>
    <definedName name="T24_Protection">'[2]24'!$E$24:$H$37,'[2]24'!$B$35:$B$37,'[2]24'!$E$41:$H$42,'[2]24'!$J$8:$M$21,'[2]24'!$J$24:$M$37,'[2]24'!$J$41:$M$42,'[2]24'!$E$8:$H$21</definedName>
    <definedName name="T25?Columns">'[1]25'!$G$5:$K$5</definedName>
    <definedName name="T25?ItemComments">'[1]25'!$F$6:$F$43</definedName>
    <definedName name="T25?Items">'[1]25'!$D$6:$D$43</definedName>
    <definedName name="T25?Scope">'[1]25'!$G$6:$K$43</definedName>
    <definedName name="T25?Units">'[1]25'!$E$6:$E$43</definedName>
    <definedName name="T25?НАП">'[1]25'!$B$10:$B$43</definedName>
    <definedName name="T25_Protect">'[1]25'!$G$6:$K$8</definedName>
    <definedName name="T25_protection">P1_T25_protection,P2_T25_protection</definedName>
    <definedName name="T26?axis?R?ВРАС">'[2]26'!$C$34:$N$36,'[2]26'!$C$22:$N$24</definedName>
    <definedName name="T26?axis?R?ВРАС?">'[2]26'!$B$34:$B$36,'[2]26'!$B$22:$B$24</definedName>
    <definedName name="T26?L1">'[2]26'!$F$8:$N$8,'[2]26'!$C$8:$D$8</definedName>
    <definedName name="T26?L1.1">'[2]26'!$F$10:$N$10,'[2]26'!$C$10:$D$10</definedName>
    <definedName name="T26?L2">'[2]26'!$F$11:$N$11,'[2]26'!$C$11:$D$11</definedName>
    <definedName name="T26?L2.1">'[2]26'!$F$13:$N$13,'[2]26'!$C$13:$D$13</definedName>
    <definedName name="T26?L3">'[2]26'!$F$14:$N$14,'[2]26'!$C$14:$D$14</definedName>
    <definedName name="T26?L4">'[2]26'!$F$15:$N$15,'[2]26'!$C$15:$D$15</definedName>
    <definedName name="T26?L5">'[2]26'!$F$16:$N$16,'[2]26'!$C$16:$D$16</definedName>
    <definedName name="T26?L5.1">'[2]26'!$F$18:$N$18,'[2]26'!$C$18:$D$18</definedName>
    <definedName name="T26?L5.2">'[2]26'!$F$19:$N$19,'[2]26'!$C$19:$D$19</definedName>
    <definedName name="T26?L5.3">'[2]26'!$F$20:$N$20,'[2]26'!$C$20:$D$20</definedName>
    <definedName name="T26?L5.3.x">'[2]26'!$F$22:$N$24,'[2]26'!$C$22:$D$24</definedName>
    <definedName name="T26?L6">'[2]26'!$F$26:$N$26,'[2]26'!$C$26:$D$26</definedName>
    <definedName name="T26?L7">'[2]26'!$F$27:$N$27,'[2]26'!$C$27:$D$27</definedName>
    <definedName name="T26?L7.1">'[2]26'!$F$29:$N$29,'[2]26'!$C$29:$D$29</definedName>
    <definedName name="T26?L7.2">'[2]26'!$F$30:$N$30,'[2]26'!$C$30:$D$30</definedName>
    <definedName name="T26?L7.3">'[2]26'!$F$31:$N$31,'[2]26'!$C$31:$D$31</definedName>
    <definedName name="T26?L7.4">'[2]26'!$F$32:$N$32,'[2]26'!$C$32:$D$32</definedName>
    <definedName name="T26?L7.4.x">'[2]26'!$F$34:$N$36,'[2]26'!$C$34:$D$36</definedName>
    <definedName name="T26?L8">'[2]26'!$F$38:$N$38,'[2]26'!$C$38:$D$38</definedName>
    <definedName name="T26_Protection">'[2]26'!$K$34:$N$36,'[2]26'!$B$22:$B$24,P1_T26_Protection,P2_T26_Protection</definedName>
    <definedName name="T27?axis?R?ВРАС">'[2]27'!$C$34:$S$36,'[2]27'!$C$22:$S$24</definedName>
    <definedName name="T27?axis?R?ВРАС?">'[2]27'!$B$34:$B$36,'[2]27'!$B$22:$B$24</definedName>
    <definedName name="T27?Items">'[1]27'!$A$8:$A$35</definedName>
    <definedName name="T27?L1.1">'[2]27'!$F$10:$S$10,'[2]27'!$C$10:$D$10</definedName>
    <definedName name="T27?L2.1">'[2]27'!$F$13:$S$13,'[2]27'!$C$13:$D$13</definedName>
    <definedName name="T27?L5.3">'[2]27'!$F$20:$S$20,'[2]27'!$C$20:$D$20</definedName>
    <definedName name="T27?L5.3.x">'[2]27'!$F$22:$S$24,'[2]27'!$C$22:$D$24</definedName>
    <definedName name="T27?L7">'[2]27'!$F$27:$S$27,'[2]27'!$C$27:$D$27</definedName>
    <definedName name="T27?L7.1">'[2]27'!$F$29:$S$29,'[2]27'!$C$29:$D$29</definedName>
    <definedName name="T27?L7.2">'[2]27'!$F$30:$S$30,'[2]27'!$C$30:$D$30</definedName>
    <definedName name="T27?L7.3">'[2]27'!$F$31:$S$31,'[2]27'!$C$31:$D$31</definedName>
    <definedName name="T27?L7.4">'[2]27'!$F$32:$S$32,'[2]27'!$C$32:$D$32</definedName>
    <definedName name="T27?L7.4.x">'[2]27'!$F$34:$S$36,'[2]27'!$C$34:$D$36</definedName>
    <definedName name="T27?L8">'[2]27'!$F$38:$S$38,'[2]27'!$C$38:$D$38</definedName>
    <definedName name="T27?Scope">'[1]27'!$D$8:$BM$35</definedName>
    <definedName name="T27?НАП">'[1]27'!$D$6:$BM$6</definedName>
    <definedName name="T27?ПОТ">'[1]27'!$D$4:$BM$4</definedName>
    <definedName name="T27_Protect">'[6]27'!$E$12:$E$13,'[6]27'!$K$4:$AH$4,'[6]27'!$AK$12:$AK$13</definedName>
    <definedName name="T27_Protection">'[2]27'!$P$34:$S$36,'[2]27'!$B$22:$B$24,P1_T27_Protection,P2_T27_Protection,P3_T27_Protection</definedName>
    <definedName name="T28.3?unit?РУБ.ГКАЛ" localSheetId="0">P1_T28.3?unit?РУБ.ГКАЛ,P2_T28.3?unit?РУБ.ГКАЛ</definedName>
    <definedName name="T28.3?unit?РУБ.ГКАЛ" localSheetId="1">P1_T28.3?unit?РУБ.ГКАЛ,P2_T28.3?unit?РУБ.ГКАЛ</definedName>
    <definedName name="T28.3?unit?РУБ.ГКАЛ" localSheetId="2">P1_T28.3?unit?РУБ.ГКАЛ,P2_T28.3?unit?РУБ.ГКАЛ</definedName>
    <definedName name="T28.3?unit?РУБ.ГКАЛ" localSheetId="4">P1_T28.3?unit?РУБ.ГКАЛ,P2_T28.3?unit?РУБ.ГКАЛ</definedName>
    <definedName name="T28.3?unit?РУБ.ГКАЛ" localSheetId="3">P1_T28.3?unit?РУБ.ГКАЛ,P2_T28.3?unit?РУБ.ГКАЛ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'[2]28'!$D$190:$E$213,'[2]28'!$G$164:$H$187,'[2]28'!$D$164:$E$187,'[2]28'!$D$138:$I$161,'[2]28'!$D$8:$I$109,'[2]28'!$D$112:$I$135,P1_T28?Data</definedName>
    <definedName name="T28?item_ext?ВСЕГО">'[2]28'!$I$8:$I$292,'[2]28'!$F$8:$F$292</definedName>
    <definedName name="T28?item_ext?ТЭ">'[2]28'!$E$8:$E$292,'[2]28'!$H$8:$H$292</definedName>
    <definedName name="T28?item_ext?ЭЭ">'[2]28'!$D$8:$D$292,'[2]28'!$G$8:$G$292</definedName>
    <definedName name="T28?L1.1.x">'[2]28'!$D$16:$I$18,'[2]28'!$D$11:$I$13</definedName>
    <definedName name="T28?L10.1.x">'[2]28'!$D$250:$I$252,'[2]28'!$D$245:$I$247</definedName>
    <definedName name="T28?L11.1.x">'[2]28'!$D$276:$I$278,'[2]28'!$D$271:$I$273</definedName>
    <definedName name="T28?L2.1.x">'[2]28'!$D$42:$I$44,'[2]28'!$D$37:$I$39</definedName>
    <definedName name="T28?L3.1.x">'[2]28'!$D$68:$I$70,'[2]28'!$D$63:$I$65</definedName>
    <definedName name="T28?L4.1.x">'[2]28'!$D$94:$I$96,'[2]28'!$D$89:$I$91</definedName>
    <definedName name="T28?L5.1.x">'[2]28'!$D$120:$I$122,'[2]28'!$D$115:$I$117</definedName>
    <definedName name="T28?L6.1.x">'[2]28'!$D$146:$I$148,'[2]28'!$D$141:$I$143</definedName>
    <definedName name="T28?L7.1.x">'[2]28'!$D$172:$I$174,'[2]28'!$D$167:$I$169</definedName>
    <definedName name="T28?L8.1.x">'[2]28'!$D$198:$I$200,'[2]28'!$D$193:$I$195</definedName>
    <definedName name="T28?L9.1.x">'[2]28'!$D$224:$I$226,'[2]28'!$D$219:$I$221</definedName>
    <definedName name="T28?unit?ГКАЛЧ">'[2]28'!$H$164:$H$187,'[2]28'!$E$164:$E$187</definedName>
    <definedName name="T28?unit?МКВТЧ">'[2]28'!$G$190:$G$213,'[2]28'!$D$190:$D$213</definedName>
    <definedName name="T28?unit?РУБ.ГКАЛ">'[2]28'!$E$216:$E$239,'[2]28'!$E$268:$E$292,'[2]28'!$H$268:$H$292,'[2]28'!$H$216:$H$239</definedName>
    <definedName name="T28?unit?РУБ.ГКАЛЧ.МЕС">'[2]28'!$H$242:$H$265,'[2]28'!$E$242:$E$265</definedName>
    <definedName name="T28?unit?РУБ.ТКВТ.МЕС">'[2]28'!$G$242:$G$265,'[2]28'!$D$242:$D$265</definedName>
    <definedName name="T28?unit?РУБ.ТКВТЧ">'[2]28'!$G$216:$G$239,'[2]28'!$D$268:$D$292,'[2]28'!$G$268:$G$292,'[2]28'!$D$216:$D$239</definedName>
    <definedName name="T28?unit?ТГКАЛ">'[2]28'!$H$190:$H$213,'[2]28'!$E$190:$E$213</definedName>
    <definedName name="T28?unit?ТКВТ">'[2]28'!$G$164:$G$187,'[2]28'!$D$164:$D$187</definedName>
    <definedName name="T28?unit?ТРУБ">'[2]28'!$D$138:$I$161,'[2]28'!$D$8:$I$109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 localSheetId="1">P1_T29?item_ext?1СТ</definedName>
    <definedName name="T29?item_ext?1СТ" localSheetId="2">P1_T29?item_ext?1СТ</definedName>
    <definedName name="T29?item_ext?1СТ" localSheetId="4">P1_T29?item_ext?1СТ</definedName>
    <definedName name="T29?item_ext?1СТ" localSheetId="3">P1_T29?item_ext?1СТ</definedName>
    <definedName name="T29?item_ext?1СТ">P1_T29?item_ext?1СТ</definedName>
    <definedName name="T29?item_ext?2СТ.М" localSheetId="0">P1_T29?item_ext?2СТ.М</definedName>
    <definedName name="T29?item_ext?2СТ.М" localSheetId="1">P1_T29?item_ext?2СТ.М</definedName>
    <definedName name="T29?item_ext?2СТ.М" localSheetId="2">P1_T29?item_ext?2СТ.М</definedName>
    <definedName name="T29?item_ext?2СТ.М" localSheetId="4">P1_T29?item_ext?2СТ.М</definedName>
    <definedName name="T29?item_ext?2СТ.М" localSheetId="3">P1_T29?item_ext?2СТ.М</definedName>
    <definedName name="T29?item_ext?2СТ.М">P1_T29?item_ext?2СТ.М</definedName>
    <definedName name="T29?item_ext?2СТ.Э" localSheetId="0">P1_T29?item_ext?2СТ.Э</definedName>
    <definedName name="T29?item_ext?2СТ.Э" localSheetId="1">P1_T29?item_ext?2СТ.Э</definedName>
    <definedName name="T29?item_ext?2СТ.Э" localSheetId="2">P1_T29?item_ext?2СТ.Э</definedName>
    <definedName name="T29?item_ext?2СТ.Э" localSheetId="4">P1_T29?item_ext?2СТ.Э</definedName>
    <definedName name="T29?item_ext?2СТ.Э" localSheetId="3">P1_T29?item_ext?2СТ.Э</definedName>
    <definedName name="T29?item_ext?2СТ.Э">P1_T29?item_ext?2СТ.Э</definedName>
    <definedName name="T29?L10" localSheetId="0">P1_T29?L10</definedName>
    <definedName name="T29?L10" localSheetId="1">P1_T29?L10</definedName>
    <definedName name="T29?L10" localSheetId="2">P1_T29?L10</definedName>
    <definedName name="T29?L10" localSheetId="4">P1_T29?L10</definedName>
    <definedName name="T29?L10" localSheetId="3">P1_T29?L10</definedName>
    <definedName name="T29?L10">P1_T29?L10</definedName>
    <definedName name="T3?ItemComments">'[1]3'!$B$7:$B$21</definedName>
    <definedName name="T3?Items">'[1]3'!$C$7:$C$21</definedName>
    <definedName name="T3?Scope">'[1]3'!$E$7:$X$21</definedName>
    <definedName name="T3?НАП">'[1]3'!$E$5:$X$5</definedName>
    <definedName name="T3_Protect">'[1]3'!$E$8:$X$20</definedName>
    <definedName name="T4?Columns">'[1]4'!$F$7:$AD$7</definedName>
    <definedName name="T4?ItemComments">'[1]4'!$E$8:$E$29</definedName>
    <definedName name="T4?Items">'[1]4'!$C$8:$C$29</definedName>
    <definedName name="T4?Scope">'[1]4'!$F$8:$AD$29</definedName>
    <definedName name="T4?Units">'[1]4'!$D$8:$D$29</definedName>
    <definedName name="T4?НАП">'[1]4'!$F$6:$AD$6</definedName>
    <definedName name="T4_Protect">'[6]4'!$AA$24:$AD$28,'[6]4'!$G$11:$J$17,P1_T4_Protect,P2_T4_Protect</definedName>
    <definedName name="T5?Columns">'[1]5'!$F$7:$AD$7</definedName>
    <definedName name="T5?ItemComments">'[1]5'!$E$8:$E$29</definedName>
    <definedName name="T5?Items">'[1]5'!$C$8:$C$29</definedName>
    <definedName name="T5?Scope">'[1]5'!$F$8:$AD$28</definedName>
    <definedName name="T5?Units">'[1]5'!$D$8:$D$29</definedName>
    <definedName name="T6?Columns">'[1]6'!$C$6:$U$6</definedName>
    <definedName name="T6?FirstYear">'[1]6'!$A$7</definedName>
    <definedName name="T6?Scope">'[1]6'!$C$7:$U$60</definedName>
    <definedName name="T6?НАП">'[1]6'!$C$5:$U$5</definedName>
    <definedName name="T6?ПОТ">'[1]6'!$B$7:$B$60</definedName>
    <definedName name="T6_Protect">'[6]6'!$B$28:$B$37,'[6]6'!$D$28:$H$37,'[6]6'!$J$28:$N$37,'[6]6'!$D$39:$H$41,'[6]6'!$J$39:$N$41,'[6]6'!$B$46:$B$55,P1_T6_Protect</definedName>
    <definedName name="T7?Data">#N/A</definedName>
    <definedName name="TP2.1?Columns">'[1]P2.1'!$A$6:$H$6</definedName>
    <definedName name="TP2.1?Scope">'[1]P2.1'!$F$7:$H$44</definedName>
    <definedName name="TP2.1_Protect">'[6]P2.1'!$F$28:$G$37,'[6]P2.1'!$F$40:$G$43,'[6]P2.1'!$F$7:$G$26</definedName>
    <definedName name="TP2.2?Columns">'[1]P2.2'!$A$6:$H$6</definedName>
    <definedName name="TP2.2?Scope">'[1]P2.2'!$F$7:$H$51</definedName>
    <definedName name="TRANSPORT">#REF!</definedName>
    <definedName name="WORK">#REF!</definedName>
    <definedName name="WORK2">#REF!</definedName>
    <definedName name="а">#REF!</definedName>
    <definedName name="А1">#REF!</definedName>
    <definedName name="б">[0]!б</definedName>
    <definedName name="БазовыйПериод">#REF!</definedName>
    <definedName name="БазовыйПериод_2">#REF!</definedName>
    <definedName name="в23ё">[0]!в23ё</definedName>
    <definedName name="вв">[0]!вв</definedName>
    <definedName name="вит">#REF!</definedName>
    <definedName name="ддд">#REF!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 localSheetId="1">#REF!,#REF!,#REF!,#REF!,[0]!P1_ДиапазонЗащиты,[0]!P2_ДиапазонЗащиты,[0]!P3_ДиапазонЗащиты,[0]!P4_ДиапазонЗащиты</definedName>
    <definedName name="ДиапазонЗащиты" localSheetId="2">#REF!,#REF!,#REF!,#REF!,[0]!P1_ДиапазонЗащиты,[0]!P2_ДиапазонЗащиты,[0]!P3_ДиапазонЗащиты,[0]!P4_ДиапазонЗащиты</definedName>
    <definedName name="ДиапазонЗащиты" localSheetId="4">#REF!,#REF!,#REF!,#REF!,[0]!P1_ДиапазонЗащиты,[0]!P2_ДиапазонЗащиты,[0]!P3_ДиапазонЗащиты,[0]!P4_ДиапазонЗащиты</definedName>
    <definedName name="ДиапазонЗащиты" localSheetId="3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й">[0]!й</definedName>
    <definedName name="йй">[0]!йй</definedName>
    <definedName name="к">[7]Заголовок!$B$14</definedName>
    <definedName name="ке">[0]!ке</definedName>
    <definedName name="Лист1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">#REF!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атериал">'[8]ВВ втор (Без-1)'!#REF!</definedName>
    <definedName name="мым">[0]!мым</definedName>
    <definedName name="_xlnm.Print_Area" localSheetId="0">'Отчет 20-22 (изн'!$A$1:$K$773</definedName>
    <definedName name="_xlnm.Print_Area" localSheetId="1">'Отчет 20-22 в тыс'!$A$1:$K$773</definedName>
    <definedName name="_xlnm.Print_Area" localSheetId="2">'Отчет 20-22 в тыс.не объед'!$A$1:$K$773</definedName>
    <definedName name="_xlnm.Print_Area" localSheetId="4">'Приложение 1'!$A$1:$K$965</definedName>
    <definedName name="_xlnm.Print_Area" localSheetId="3">'Приложение 1 (2)'!$A$1:$K$1021</definedName>
    <definedName name="п">[7]Заголовок!$B$16</definedName>
    <definedName name="ПериодРегулирования">[7]Заголовок!$B$14</definedName>
    <definedName name="ПериодРегулирования_2">[7]Заголовок!$B$14</definedName>
    <definedName name="Периоды_18_2">'[6]18.2'!#REF!</definedName>
    <definedName name="ПоследнийГод">[7]Заголовок!$B$16</definedName>
    <definedName name="ПоследнийГод_2">[7]Заголовок!$B$16</definedName>
    <definedName name="расчет">[0]!расчет</definedName>
    <definedName name="с">[0]!с</definedName>
    <definedName name="сс">[0]!сс</definedName>
    <definedName name="сссс">[0]!сссс</definedName>
    <definedName name="ссы">[0]!ссы</definedName>
    <definedName name="ссы2">[0]!ссы2</definedName>
    <definedName name="у">[0]!у</definedName>
    <definedName name="форма">#REF!</definedName>
    <definedName name="ФОРМА1">#REF!</definedName>
    <definedName name="ц">[0]!ц</definedName>
    <definedName name="цу">[0]!цу</definedName>
    <definedName name="ыв">[0]!ыв</definedName>
    <definedName name="ыыыы">[0]!ыыыы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5" i="6" l="1"/>
  <c r="G314" i="6"/>
  <c r="G313" i="6"/>
  <c r="G282" i="6"/>
  <c r="G281" i="6"/>
  <c r="G251" i="6"/>
  <c r="G250" i="6" s="1"/>
  <c r="G249" i="6"/>
  <c r="G248" i="6"/>
  <c r="G247" i="6" s="1"/>
  <c r="G246" i="6"/>
  <c r="G245" i="6" s="1"/>
  <c r="G244" i="6"/>
  <c r="G243" i="6"/>
  <c r="G242" i="6"/>
  <c r="G241" i="6" s="1"/>
  <c r="G240" i="6"/>
  <c r="G239" i="6"/>
  <c r="G238" i="6" s="1"/>
  <c r="G237" i="6"/>
  <c r="G236" i="6" s="1"/>
  <c r="G235" i="6"/>
  <c r="G234" i="6" s="1"/>
  <c r="G233" i="6"/>
  <c r="G232" i="6"/>
  <c r="G231" i="6"/>
  <c r="G230" i="6" s="1"/>
  <c r="G229" i="6"/>
  <c r="G228" i="6"/>
  <c r="G227" i="6" s="1"/>
  <c r="G226" i="6"/>
  <c r="G225" i="6" s="1"/>
  <c r="G224" i="6"/>
  <c r="G223" i="6" s="1"/>
  <c r="E250" i="6"/>
  <c r="E247" i="6"/>
  <c r="E245" i="6"/>
  <c r="E243" i="6"/>
  <c r="E241" i="6"/>
  <c r="E238" i="6"/>
  <c r="E236" i="6"/>
  <c r="E234" i="6"/>
  <c r="E230" i="6"/>
  <c r="E227" i="6"/>
  <c r="E225" i="6"/>
  <c r="E223" i="6"/>
  <c r="F315" i="6" l="1"/>
  <c r="F314" i="6"/>
  <c r="F313" i="6"/>
  <c r="F312" i="6"/>
  <c r="E162" i="6"/>
  <c r="E161" i="6"/>
  <c r="E153" i="6"/>
  <c r="E143" i="6"/>
  <c r="E140" i="6"/>
  <c r="E138" i="6"/>
  <c r="F167" i="6"/>
  <c r="F249" i="6" l="1"/>
  <c r="F153" i="6" l="1"/>
  <c r="F163" i="6"/>
  <c r="F161" i="6"/>
  <c r="F154" i="6"/>
  <c r="F155" i="6"/>
  <c r="F160" i="6"/>
  <c r="F145" i="6"/>
  <c r="F143" i="6"/>
  <c r="F311" i="6" l="1"/>
  <c r="F310" i="6"/>
  <c r="F293" i="6"/>
  <c r="F291" i="6"/>
  <c r="F290" i="6"/>
  <c r="F288" i="6"/>
  <c r="F274" i="6"/>
  <c r="F271" i="6"/>
  <c r="E217" i="6"/>
  <c r="F205" i="6"/>
  <c r="F203" i="6"/>
  <c r="F201" i="6"/>
  <c r="F200" i="6"/>
  <c r="F198" i="6"/>
  <c r="F197" i="6"/>
  <c r="F196" i="6"/>
  <c r="F193" i="6"/>
  <c r="F187" i="6"/>
  <c r="F185" i="6"/>
  <c r="F183" i="6"/>
  <c r="E116" i="6"/>
  <c r="E115" i="6"/>
  <c r="E98" i="6"/>
  <c r="F333" i="4"/>
  <c r="F332" i="4" l="1"/>
  <c r="F331" i="4"/>
  <c r="L957" i="4"/>
  <c r="E156" i="4" l="1"/>
  <c r="E155" i="4"/>
  <c r="E138" i="4" l="1"/>
  <c r="E247" i="4" l="1"/>
  <c r="G423" i="5" l="1"/>
  <c r="G422" i="5"/>
  <c r="G421" i="5"/>
  <c r="G420" i="5"/>
  <c r="G419" i="5"/>
  <c r="G418" i="5"/>
  <c r="G417" i="5"/>
  <c r="G416" i="5"/>
  <c r="G415" i="5"/>
  <c r="G414" i="5"/>
  <c r="G413" i="5"/>
  <c r="G412" i="5"/>
  <c r="G411" i="5"/>
  <c r="G410" i="5"/>
  <c r="G409" i="5"/>
  <c r="G408" i="5"/>
  <c r="G407" i="5"/>
  <c r="K395" i="5"/>
  <c r="F367" i="5"/>
  <c r="F365" i="5"/>
  <c r="F364" i="5"/>
  <c r="F362" i="5"/>
  <c r="F356" i="5"/>
  <c r="F355" i="5"/>
  <c r="F354" i="5"/>
  <c r="F353" i="5"/>
  <c r="G346" i="5"/>
  <c r="F341" i="5"/>
  <c r="F338" i="5"/>
  <c r="G270" i="5"/>
  <c r="F268" i="5"/>
  <c r="F266" i="5"/>
  <c r="F264" i="5"/>
  <c r="F263" i="5"/>
  <c r="F261" i="5"/>
  <c r="F260" i="5"/>
  <c r="F259" i="5"/>
  <c r="F256" i="5"/>
  <c r="F250" i="5"/>
  <c r="F248" i="5"/>
  <c r="F246" i="5"/>
  <c r="E212" i="5"/>
  <c r="K211" i="5"/>
  <c r="E210" i="5"/>
  <c r="K206" i="5"/>
  <c r="K204" i="5"/>
  <c r="E204" i="5"/>
  <c r="L187" i="5" s="1"/>
  <c r="O187" i="5"/>
  <c r="L186" i="5"/>
  <c r="O159" i="5"/>
  <c r="L158" i="5"/>
  <c r="L110" i="5"/>
  <c r="O49" i="5"/>
  <c r="L49" i="5"/>
  <c r="L30" i="5"/>
  <c r="L15" i="5"/>
  <c r="O14" i="5"/>
  <c r="L14" i="5"/>
  <c r="L13" i="5"/>
  <c r="L93" i="4"/>
  <c r="L32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K345" i="4"/>
  <c r="F314" i="4"/>
  <c r="F312" i="4"/>
  <c r="F311" i="4"/>
  <c r="F309" i="4"/>
  <c r="F293" i="4"/>
  <c r="F290" i="4"/>
  <c r="F235" i="4"/>
  <c r="F233" i="4"/>
  <c r="F231" i="4"/>
  <c r="F230" i="4"/>
  <c r="F228" i="4"/>
  <c r="F227" i="4"/>
  <c r="F226" i="4"/>
  <c r="F223" i="4"/>
  <c r="F217" i="4"/>
  <c r="F215" i="4"/>
  <c r="F213" i="4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G633" i="3"/>
  <c r="H633" i="3" s="1"/>
  <c r="G632" i="3"/>
  <c r="H632" i="3" s="1"/>
  <c r="G631" i="3"/>
  <c r="H631" i="3" s="1"/>
  <c r="G630" i="3"/>
  <c r="H630" i="3" s="1"/>
  <c r="G629" i="3"/>
  <c r="H629" i="3" s="1"/>
  <c r="G628" i="3"/>
  <c r="H628" i="3" s="1"/>
  <c r="G627" i="3"/>
  <c r="H627" i="3" s="1"/>
  <c r="G626" i="3"/>
  <c r="H626" i="3" s="1"/>
  <c r="G625" i="3"/>
  <c r="H625" i="3" s="1"/>
  <c r="G624" i="3"/>
  <c r="H624" i="3" s="1"/>
  <c r="G623" i="3"/>
  <c r="H623" i="3" s="1"/>
  <c r="G622" i="3"/>
  <c r="H622" i="3" s="1"/>
  <c r="G621" i="3"/>
  <c r="H621" i="3" s="1"/>
  <c r="G620" i="3"/>
  <c r="H620" i="3" s="1"/>
  <c r="G619" i="3"/>
  <c r="H619" i="3" s="1"/>
  <c r="G618" i="3"/>
  <c r="H618" i="3" s="1"/>
  <c r="G617" i="3"/>
  <c r="H617" i="3" s="1"/>
  <c r="G616" i="3"/>
  <c r="H616" i="3" s="1"/>
  <c r="G615" i="3"/>
  <c r="H615" i="3" s="1"/>
  <c r="G614" i="3"/>
  <c r="H614" i="3" s="1"/>
  <c r="G613" i="3"/>
  <c r="H613" i="3" s="1"/>
  <c r="G612" i="3"/>
  <c r="H612" i="3" s="1"/>
  <c r="G611" i="3"/>
  <c r="H611" i="3" s="1"/>
  <c r="G610" i="3"/>
  <c r="H610" i="3" s="1"/>
  <c r="G609" i="3"/>
  <c r="H609" i="3" s="1"/>
  <c r="G608" i="3"/>
  <c r="H608" i="3" s="1"/>
  <c r="G607" i="3"/>
  <c r="H607" i="3" s="1"/>
  <c r="G606" i="3"/>
  <c r="H606" i="3" s="1"/>
  <c r="G605" i="3"/>
  <c r="H605" i="3" s="1"/>
  <c r="G604" i="3"/>
  <c r="H604" i="3" s="1"/>
  <c r="G603" i="3"/>
  <c r="H603" i="3" s="1"/>
  <c r="G602" i="3"/>
  <c r="H602" i="3" s="1"/>
  <c r="G601" i="3"/>
  <c r="H601" i="3" s="1"/>
  <c r="G600" i="3"/>
  <c r="H600" i="3" s="1"/>
  <c r="G599" i="3"/>
  <c r="H599" i="3" s="1"/>
  <c r="G598" i="3"/>
  <c r="H598" i="3" s="1"/>
  <c r="G597" i="3"/>
  <c r="H597" i="3" s="1"/>
  <c r="G596" i="3"/>
  <c r="H596" i="3" s="1"/>
  <c r="G595" i="3"/>
  <c r="H595" i="3" s="1"/>
  <c r="G594" i="3"/>
  <c r="H594" i="3" s="1"/>
  <c r="H593" i="3"/>
  <c r="H592" i="3"/>
  <c r="G591" i="3"/>
  <c r="H591" i="3" s="1"/>
  <c r="G590" i="3"/>
  <c r="H590" i="3" s="1"/>
  <c r="G589" i="3"/>
  <c r="H589" i="3" s="1"/>
  <c r="G588" i="3"/>
  <c r="H588" i="3" s="1"/>
  <c r="G587" i="3"/>
  <c r="H587" i="3" s="1"/>
  <c r="G586" i="3"/>
  <c r="H586" i="3" s="1"/>
  <c r="H585" i="3"/>
  <c r="G584" i="3"/>
  <c r="H584" i="3" s="1"/>
  <c r="G583" i="3"/>
  <c r="H583" i="3" s="1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K395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G369" i="3"/>
  <c r="H369" i="3" s="1"/>
  <c r="G368" i="3"/>
  <c r="H368" i="3" s="1"/>
  <c r="G367" i="3"/>
  <c r="H367" i="3" s="1"/>
  <c r="F367" i="3"/>
  <c r="G366" i="3"/>
  <c r="H366" i="3" s="1"/>
  <c r="G365" i="3"/>
  <c r="H365" i="3" s="1"/>
  <c r="F365" i="3"/>
  <c r="G364" i="3"/>
  <c r="H364" i="3" s="1"/>
  <c r="F364" i="3"/>
  <c r="G363" i="3"/>
  <c r="H363" i="3" s="1"/>
  <c r="G362" i="3"/>
  <c r="H362" i="3" s="1"/>
  <c r="F362" i="3"/>
  <c r="F356" i="3"/>
  <c r="F355" i="3"/>
  <c r="F354" i="3"/>
  <c r="F353" i="3"/>
  <c r="G345" i="3"/>
  <c r="H345" i="3" s="1"/>
  <c r="G344" i="3"/>
  <c r="H344" i="3" s="1"/>
  <c r="G343" i="3"/>
  <c r="H343" i="3" s="1"/>
  <c r="G342" i="3"/>
  <c r="H342" i="3" s="1"/>
  <c r="G341" i="3"/>
  <c r="H341" i="3" s="1"/>
  <c r="F341" i="3"/>
  <c r="G340" i="3"/>
  <c r="H340" i="3" s="1"/>
  <c r="G339" i="3"/>
  <c r="H339" i="3" s="1"/>
  <c r="G338" i="3"/>
  <c r="H338" i="3" s="1"/>
  <c r="F338" i="3"/>
  <c r="G337" i="3"/>
  <c r="H337" i="3" s="1"/>
  <c r="G336" i="3"/>
  <c r="H336" i="3" s="1"/>
  <c r="G335" i="3"/>
  <c r="H335" i="3" s="1"/>
  <c r="G334" i="3"/>
  <c r="H334" i="3" s="1"/>
  <c r="G333" i="3"/>
  <c r="H333" i="3" s="1"/>
  <c r="G332" i="3"/>
  <c r="H332" i="3" s="1"/>
  <c r="G331" i="3"/>
  <c r="H331" i="3" s="1"/>
  <c r="G330" i="3"/>
  <c r="H330" i="3" s="1"/>
  <c r="G329" i="3"/>
  <c r="H329" i="3" s="1"/>
  <c r="G328" i="3"/>
  <c r="H328" i="3" s="1"/>
  <c r="G327" i="3"/>
  <c r="H327" i="3" s="1"/>
  <c r="G326" i="3"/>
  <c r="H326" i="3" s="1"/>
  <c r="G325" i="3"/>
  <c r="H325" i="3" s="1"/>
  <c r="H324" i="3"/>
  <c r="G323" i="3"/>
  <c r="H323" i="3" s="1"/>
  <c r="G269" i="3"/>
  <c r="H269" i="3" s="1"/>
  <c r="G268" i="3"/>
  <c r="H268" i="3" s="1"/>
  <c r="F268" i="3"/>
  <c r="G267" i="3"/>
  <c r="H267" i="3" s="1"/>
  <c r="G266" i="3"/>
  <c r="H266" i="3" s="1"/>
  <c r="F266" i="3"/>
  <c r="G265" i="3"/>
  <c r="H265" i="3" s="1"/>
  <c r="G264" i="3"/>
  <c r="H264" i="3" s="1"/>
  <c r="F264" i="3"/>
  <c r="G263" i="3"/>
  <c r="H263" i="3" s="1"/>
  <c r="F263" i="3"/>
  <c r="G262" i="3"/>
  <c r="H262" i="3" s="1"/>
  <c r="G261" i="3"/>
  <c r="H261" i="3" s="1"/>
  <c r="F261" i="3"/>
  <c r="G260" i="3"/>
  <c r="H260" i="3" s="1"/>
  <c r="F260" i="3"/>
  <c r="G259" i="3"/>
  <c r="H259" i="3" s="1"/>
  <c r="F259" i="3"/>
  <c r="G258" i="3"/>
  <c r="H258" i="3" s="1"/>
  <c r="G257" i="3"/>
  <c r="H257" i="3" s="1"/>
  <c r="G256" i="3"/>
  <c r="H256" i="3" s="1"/>
  <c r="F256" i="3"/>
  <c r="G255" i="3"/>
  <c r="H255" i="3" s="1"/>
  <c r="G254" i="3"/>
  <c r="H254" i="3" s="1"/>
  <c r="G253" i="3"/>
  <c r="H253" i="3" s="1"/>
  <c r="G252" i="3"/>
  <c r="H252" i="3" s="1"/>
  <c r="H251" i="3"/>
  <c r="G251" i="3"/>
  <c r="G250" i="3"/>
  <c r="H250" i="3" s="1"/>
  <c r="F250" i="3"/>
  <c r="G249" i="3"/>
  <c r="H249" i="3" s="1"/>
  <c r="G248" i="3"/>
  <c r="H248" i="3" s="1"/>
  <c r="F248" i="3"/>
  <c r="G247" i="3"/>
  <c r="H247" i="3" s="1"/>
  <c r="G246" i="3"/>
  <c r="H246" i="3" s="1"/>
  <c r="F246" i="3"/>
  <c r="H245" i="3"/>
  <c r="H244" i="3"/>
  <c r="H243" i="3"/>
  <c r="H242" i="3"/>
  <c r="H241" i="3"/>
  <c r="H240" i="3"/>
  <c r="E212" i="3"/>
  <c r="K211" i="3"/>
  <c r="E210" i="3"/>
  <c r="K206" i="3"/>
  <c r="K204" i="3"/>
  <c r="E204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L188" i="5" l="1"/>
  <c r="F270" i="5"/>
  <c r="F346" i="5"/>
  <c r="L160" i="5"/>
  <c r="L159" i="5"/>
  <c r="F341" i="2"/>
  <c r="F338" i="2"/>
  <c r="F268" i="2"/>
  <c r="F266" i="2"/>
  <c r="F264" i="2"/>
  <c r="F263" i="2"/>
  <c r="F261" i="2"/>
  <c r="F260" i="2"/>
  <c r="F259" i="2"/>
  <c r="F256" i="2"/>
  <c r="F250" i="2"/>
  <c r="F248" i="2"/>
  <c r="F246" i="2"/>
  <c r="F367" i="2" l="1"/>
  <c r="F365" i="2"/>
  <c r="F364" i="2"/>
  <c r="F362" i="2"/>
  <c r="E204" i="2" l="1"/>
  <c r="K204" i="2"/>
  <c r="K206" i="2"/>
  <c r="E210" i="2"/>
  <c r="K211" i="2"/>
  <c r="E212" i="2"/>
  <c r="F353" i="2"/>
  <c r="F354" i="2"/>
  <c r="F355" i="2"/>
  <c r="F356" i="2"/>
  <c r="K395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</calcChain>
</file>

<file path=xl/sharedStrings.xml><?xml version="1.0" encoding="utf-8"?>
<sst xmlns="http://schemas.openxmlformats.org/spreadsheetml/2006/main" count="9165" uniqueCount="1444">
  <si>
    <t>К.Г. Ростворцев</t>
  </si>
  <si>
    <t>Начальник службы по технологическому присоединению</t>
  </si>
  <si>
    <t>К.Б. Аликов</t>
  </si>
  <si>
    <t>Генеральный директор</t>
  </si>
  <si>
    <t>Нестеренко В.Е.</t>
  </si>
  <si>
    <t>8(1).1.1</t>
  </si>
  <si>
    <t>Кагало И.В.</t>
  </si>
  <si>
    <t>Михайленко В.В.</t>
  </si>
  <si>
    <t>Лисянский Д.Г.</t>
  </si>
  <si>
    <t>8(1).2.2</t>
  </si>
  <si>
    <t>Стаценко Н.И.</t>
  </si>
  <si>
    <t>Демьяненко О.В.</t>
  </si>
  <si>
    <t>Суворов С.В.</t>
  </si>
  <si>
    <t>8(1).2.1</t>
  </si>
  <si>
    <t>Трегубенко С.Н.</t>
  </si>
  <si>
    <t>Старкова С.П.</t>
  </si>
  <si>
    <t>Агаева И.А.</t>
  </si>
  <si>
    <t>Пальчикова К.В.</t>
  </si>
  <si>
    <t>Рыбинский Е.В.</t>
  </si>
  <si>
    <t>Лунская Т.Р.</t>
  </si>
  <si>
    <t>Рыбинская В.В.</t>
  </si>
  <si>
    <t>Черняева И.А.</t>
  </si>
  <si>
    <t>Романько И.М.</t>
  </si>
  <si>
    <t>Ярошенко В.Ю.</t>
  </si>
  <si>
    <t>Павлий К.А.</t>
  </si>
  <si>
    <t>Такушинова С.А.</t>
  </si>
  <si>
    <t>Харченко А.Н.</t>
  </si>
  <si>
    <t>Кишинский Н.И.</t>
  </si>
  <si>
    <t>Какауридзе Т.Б.</t>
  </si>
  <si>
    <t>Капустьянова М.А.</t>
  </si>
  <si>
    <t>Седаков С.В.</t>
  </si>
  <si>
    <t>Панфилов В.Л.</t>
  </si>
  <si>
    <t>Калошин В.Н.</t>
  </si>
  <si>
    <t>Власова Ж.Ю.</t>
  </si>
  <si>
    <t>Акопян Р.А.</t>
  </si>
  <si>
    <t>Борисов С.П.</t>
  </si>
  <si>
    <t>Марусич Е.А.</t>
  </si>
  <si>
    <t>Костецкая И.В.</t>
  </si>
  <si>
    <t>Поздняков П.П.</t>
  </si>
  <si>
    <t>Калмыков О.В.</t>
  </si>
  <si>
    <t>Кошлякова С.А.</t>
  </si>
  <si>
    <t>Проценко П.В.</t>
  </si>
  <si>
    <t>Бадалян С.С.</t>
  </si>
  <si>
    <t>Захарова Н.М.</t>
  </si>
  <si>
    <t>Дутов Ю.О.</t>
  </si>
  <si>
    <t>Цуркин Д.В.</t>
  </si>
  <si>
    <t>Ибрамхалилов Н.А.</t>
  </si>
  <si>
    <t>Кобцев В.Р.</t>
  </si>
  <si>
    <t>Амаев Р.Р.</t>
  </si>
  <si>
    <t>Нешта И.Н.</t>
  </si>
  <si>
    <t>Дубов А.Г.</t>
  </si>
  <si>
    <t>Туманов А.М.</t>
  </si>
  <si>
    <t>Сербина Г.Д.</t>
  </si>
  <si>
    <t>Лызь Н.Н.</t>
  </si>
  <si>
    <t>Крыжановский А.Э.</t>
  </si>
  <si>
    <t>Толоконников Р.И.</t>
  </si>
  <si>
    <t>Воронина Т.Г.</t>
  </si>
  <si>
    <t>Матузный М.Е.</t>
  </si>
  <si>
    <t>Винокурова Н.П.</t>
  </si>
  <si>
    <t>Парамонов М.А.</t>
  </si>
  <si>
    <t>Скорякова Е.В.</t>
  </si>
  <si>
    <t>Панченко С.Н.</t>
  </si>
  <si>
    <t>Конторин С.В.</t>
  </si>
  <si>
    <t>Казарян В.Р.</t>
  </si>
  <si>
    <t>Шилов В.В.</t>
  </si>
  <si>
    <t>Батагова Е.А.</t>
  </si>
  <si>
    <t>Сизоренко И.И.</t>
  </si>
  <si>
    <t>Зелюнка Д.И.</t>
  </si>
  <si>
    <t>Николин И.И.</t>
  </si>
  <si>
    <t>Швецов Е.Н.</t>
  </si>
  <si>
    <t>Зделов И.П.</t>
  </si>
  <si>
    <t>Калинин Д.М.</t>
  </si>
  <si>
    <t>Акопян С.Р.</t>
  </si>
  <si>
    <t>Панская Т.И.</t>
  </si>
  <si>
    <t>Шварц В.М.</t>
  </si>
  <si>
    <t>Марянинов А.А.</t>
  </si>
  <si>
    <t>Ильчук И.А.</t>
  </si>
  <si>
    <t>Сазонова Т.В.</t>
  </si>
  <si>
    <t>Суров И.Д.</t>
  </si>
  <si>
    <t>Тихонов Э.Е.</t>
  </si>
  <si>
    <t>Зинченко М.М.</t>
  </si>
  <si>
    <t>Земсков П.К.</t>
  </si>
  <si>
    <t>Астахов М.В.</t>
  </si>
  <si>
    <t>Валова З.Г.</t>
  </si>
  <si>
    <t>Черницова Н.А.</t>
  </si>
  <si>
    <t>Беликов Д.В.</t>
  </si>
  <si>
    <t>Артеменко Р.И.</t>
  </si>
  <si>
    <t>Саркисян С.В.</t>
  </si>
  <si>
    <t>Нестеренко Л.Н.</t>
  </si>
  <si>
    <t>Караогланян В.И.</t>
  </si>
  <si>
    <t>Журбин И.В.</t>
  </si>
  <si>
    <t>Воловик Е.Е.</t>
  </si>
  <si>
    <t>Сазонова Л.Н.</t>
  </si>
  <si>
    <t>Панчурина Е.В.</t>
  </si>
  <si>
    <t>Морозов Н.Н.</t>
  </si>
  <si>
    <t>Некрич А.Г.</t>
  </si>
  <si>
    <t>Дедушенко В.М.</t>
  </si>
  <si>
    <t>Козлов В.Ю.</t>
  </si>
  <si>
    <t>Бутко А.В.</t>
  </si>
  <si>
    <t>Калинин М.В.</t>
  </si>
  <si>
    <t>Мишукова О.Н.</t>
  </si>
  <si>
    <t>Шинкарева А.В.</t>
  </si>
  <si>
    <t>Гурнаков Н.В.</t>
  </si>
  <si>
    <t>Медведев Н.В.</t>
  </si>
  <si>
    <t>Сушков А.М.</t>
  </si>
  <si>
    <t>Якобсон В.Р.</t>
  </si>
  <si>
    <t>Морозова Т.Я.</t>
  </si>
  <si>
    <t>Ширяев А.В.</t>
  </si>
  <si>
    <t>Омельченко Л.В.</t>
  </si>
  <si>
    <t>Малиновский А.Л.</t>
  </si>
  <si>
    <t>Ильченко Р.Н.</t>
  </si>
  <si>
    <t>Гориславский Д.В.</t>
  </si>
  <si>
    <t>Сушук А.Ф.</t>
  </si>
  <si>
    <t>Чайкина В.В.</t>
  </si>
  <si>
    <t>Денисенко В.А.</t>
  </si>
  <si>
    <t>Адлер А.А.</t>
  </si>
  <si>
    <t>Чернецкая Н.В.</t>
  </si>
  <si>
    <t>Занимонский А.А.</t>
  </si>
  <si>
    <t>Галец Н.М.</t>
  </si>
  <si>
    <t>Огарышева Н.А.</t>
  </si>
  <si>
    <t>Новичков В.В.</t>
  </si>
  <si>
    <t>Шибаев Р.В.</t>
  </si>
  <si>
    <t>Левченко А.В.</t>
  </si>
  <si>
    <t>Тараненко Е.В</t>
  </si>
  <si>
    <t>Скородумов Ю.В</t>
  </si>
  <si>
    <t xml:space="preserve">Панченко С.А ул.Отрадная </t>
  </si>
  <si>
    <t>Крыжановская Т.В</t>
  </si>
  <si>
    <t>Ериза А.П.</t>
  </si>
  <si>
    <t>УЖКХ Дунаевского Строительная</t>
  </si>
  <si>
    <t>Кондратенко С.М</t>
  </si>
  <si>
    <t>Цатурян А.С Кузнецкий</t>
  </si>
  <si>
    <t xml:space="preserve"> Караогланян В.С ул. Дунаевского</t>
  </si>
  <si>
    <t>Остапенко Г.А</t>
  </si>
  <si>
    <t>Абдрахманов А.А</t>
  </si>
  <si>
    <t>ГБОУ «ЦПМСС»</t>
  </si>
  <si>
    <t>УЖКХ  Калинина светофор</t>
  </si>
  <si>
    <t>УЖКХ 3.Интернационала светофор</t>
  </si>
  <si>
    <t>ШСН-РП-7-10 гр.2 Камнева И.Н</t>
  </si>
  <si>
    <t>Разумный С.Н</t>
  </si>
  <si>
    <t xml:space="preserve"> Леонов А.А.</t>
  </si>
  <si>
    <t xml:space="preserve">  Моргунова В.М</t>
  </si>
  <si>
    <t>ТП-204 ф-6  УЖКХ Сквер</t>
  </si>
  <si>
    <t>Караогланян А.А Гагарина 55</t>
  </si>
  <si>
    <t>Шатухина О.</t>
  </si>
  <si>
    <t>Зацепин В.И.</t>
  </si>
  <si>
    <t>Цатурян С.А. СНТ Восход 1488</t>
  </si>
  <si>
    <t>ИП Володина С.С</t>
  </si>
  <si>
    <t xml:space="preserve"> ООО Главстрой </t>
  </si>
  <si>
    <t>ТП-58 ф-6 ул.Спартака 27 Химпродукт</t>
  </si>
  <si>
    <t xml:space="preserve"> ул. Маяковского 28 ООО Асти</t>
  </si>
  <si>
    <t>Шейкина Л.А.</t>
  </si>
  <si>
    <t xml:space="preserve"> Полянский Д.Г.</t>
  </si>
  <si>
    <t>Антипов Е.Ф</t>
  </si>
  <si>
    <t>Шеремет Е.Н ул.Раздольная 21а</t>
  </si>
  <si>
    <t xml:space="preserve">Шеремет Е.Н ул.Раздольная 21 </t>
  </si>
  <si>
    <t>Шеремет Е.Н ул.Раздольная 19 а</t>
  </si>
  <si>
    <t>Шеремет Е.Н ул.Раздольная 19</t>
  </si>
  <si>
    <t xml:space="preserve">  Шеремет Е.Н Раздольная 24А</t>
  </si>
  <si>
    <t xml:space="preserve"> Шеремет Е.Н Раздольная 24</t>
  </si>
  <si>
    <t xml:space="preserve"> Шеремет Е.Н Раздольная 26А</t>
  </si>
  <si>
    <t xml:space="preserve"> Шеремет Е.Н Раздольная 26</t>
  </si>
  <si>
    <t xml:space="preserve">  Шеремет Е.Н Раздольная 28А</t>
  </si>
  <si>
    <t xml:space="preserve"> Шеремет Е.Н Раздольная 30А</t>
  </si>
  <si>
    <t xml:space="preserve"> Шеремет Е.Н Раздольная 30</t>
  </si>
  <si>
    <t xml:space="preserve"> Шеремет Е.Н Раздольная 32А</t>
  </si>
  <si>
    <t xml:space="preserve"> Шеремет Е.Н Раздольная 32</t>
  </si>
  <si>
    <t xml:space="preserve"> Шеремет Е.Н Раздольная 25А</t>
  </si>
  <si>
    <t xml:space="preserve"> Шеремет Е.Н Раздольная 25</t>
  </si>
  <si>
    <t xml:space="preserve">  Шеремет Е.Н Раздольная 23 А</t>
  </si>
  <si>
    <t xml:space="preserve">  Шеремет Е.Н  Раздольная 23</t>
  </si>
  <si>
    <t xml:space="preserve"> Марчуков С.Г</t>
  </si>
  <si>
    <t xml:space="preserve"> Айрапетов Р.Ю</t>
  </si>
  <si>
    <t xml:space="preserve"> Вымпелком Загородняя 2/1</t>
  </si>
  <si>
    <t xml:space="preserve">горбольница ТП-4.3 </t>
  </si>
  <si>
    <t xml:space="preserve">Панченко С.А ул.Революционная 147А  </t>
  </si>
  <si>
    <t>Алексеенко Е.Я</t>
  </si>
  <si>
    <t>Боярчук И.В</t>
  </si>
  <si>
    <t xml:space="preserve">ПАО МТС ул.Рождественская 33-1 </t>
  </si>
  <si>
    <t xml:space="preserve">Азнауров  Н.С.ул.Апанасенко 4г </t>
  </si>
  <si>
    <t xml:space="preserve">Азнауров  Н.С.ул.Апанасенко 4В </t>
  </si>
  <si>
    <t xml:space="preserve">Азнауров  Н.С.ул.Апанасенко 4Б </t>
  </si>
  <si>
    <t xml:space="preserve">Азнауров  Н.С.ул.Апанасенко 4А </t>
  </si>
  <si>
    <t>ул.Садовая 189 Караогланян В.С</t>
  </si>
  <si>
    <t xml:space="preserve"> Парамонова Э.М</t>
  </si>
  <si>
    <t xml:space="preserve"> Караогланян В.С ул Ленина 113Б</t>
  </si>
  <si>
    <t xml:space="preserve">Караогланян В.С ул Ленина 113А </t>
  </si>
  <si>
    <t xml:space="preserve">Караогланян А.А Лабинская30 </t>
  </si>
  <si>
    <t>Кувшинова Н.В</t>
  </si>
  <si>
    <t>Губарева О.А</t>
  </si>
  <si>
    <t>Цатурян А.С Восход 1487</t>
  </si>
  <si>
    <t>Харьков В.В.</t>
  </si>
  <si>
    <t>Мехтиев Р.Г</t>
  </si>
  <si>
    <t>Винокуров К.А</t>
  </si>
  <si>
    <t>Ковалев С.В</t>
  </si>
  <si>
    <t>Мусина Л.Н</t>
  </si>
  <si>
    <t>Константинова И.А</t>
  </si>
  <si>
    <t>Мякенькая Л.А</t>
  </si>
  <si>
    <t>Павлов С.В</t>
  </si>
  <si>
    <t>Курчаткин В.В</t>
  </si>
  <si>
    <t>Дудкин А.В</t>
  </si>
  <si>
    <t>Дидух В.С</t>
  </si>
  <si>
    <t>Чебан С.П</t>
  </si>
  <si>
    <t>Гедыгушева Т.А</t>
  </si>
  <si>
    <t>СП Энергетик стадион</t>
  </si>
  <si>
    <t>Степко Л.Н</t>
  </si>
  <si>
    <t>Барсуков А Г</t>
  </si>
  <si>
    <t>Власенко В.И.</t>
  </si>
  <si>
    <t>Кузьмичева Е.Н</t>
  </si>
  <si>
    <t>Бабуева Р.П</t>
  </si>
  <si>
    <t>Шкрыль Д.Г</t>
  </si>
  <si>
    <t>Хайрулин Д.Ф</t>
  </si>
  <si>
    <t>Селиверстов АА</t>
  </si>
  <si>
    <t>Вертуша Е.А</t>
  </si>
  <si>
    <t>Хакимов Э.А</t>
  </si>
  <si>
    <t>Еконян Д.В</t>
  </si>
  <si>
    <t>Межуев Ф.В</t>
  </si>
  <si>
    <t>Межуева Е.А</t>
  </si>
  <si>
    <t>Першина И.М</t>
  </si>
  <si>
    <t xml:space="preserve"> Сигачев А.Г(15с5</t>
  </si>
  <si>
    <t>Проскурина Л.Н(15 с 5</t>
  </si>
  <si>
    <t>Михайлова О.Э</t>
  </si>
  <si>
    <t>Арзуманян А.А.</t>
  </si>
  <si>
    <t>Толстых Е.И</t>
  </si>
  <si>
    <t>Парамонов М.А</t>
  </si>
  <si>
    <t>Хакимов Н.Н.(15 с 5</t>
  </si>
  <si>
    <t>Смородин Н.С</t>
  </si>
  <si>
    <t>Кондраков А.П(15 с 5</t>
  </si>
  <si>
    <t>Парамонов Е.М</t>
  </si>
  <si>
    <t>Чубова А.А</t>
  </si>
  <si>
    <t>Никитин Н.Н</t>
  </si>
  <si>
    <t>Кулигин Г.Л</t>
  </si>
  <si>
    <t>Мангушев А.Ю</t>
  </si>
  <si>
    <t>Горбунова Е.А</t>
  </si>
  <si>
    <t>Буняева Е.А</t>
  </si>
  <si>
    <t>Шкурко А.В</t>
  </si>
  <si>
    <t>Шпитько Я.А.</t>
  </si>
  <si>
    <t>Карамян В.Э(15 с 5</t>
  </si>
  <si>
    <t>Полянский Д.Г</t>
  </si>
  <si>
    <t>Королев Д.В</t>
  </si>
  <si>
    <t>Караогланян Н.А.</t>
  </si>
  <si>
    <t>Шутов М.А</t>
  </si>
  <si>
    <t>Князев Н.А</t>
  </si>
  <si>
    <t>Сокаев СС</t>
  </si>
  <si>
    <t>Матвиенко С.П.</t>
  </si>
  <si>
    <t>Титаренко А.А</t>
  </si>
  <si>
    <t>Матвиенко Е.В</t>
  </si>
  <si>
    <t>Моргунова В.М Трудовая 84г</t>
  </si>
  <si>
    <t>Сисков В.Н</t>
  </si>
  <si>
    <t>Воробьев С.С</t>
  </si>
  <si>
    <t>Стаценко Н.Д</t>
  </si>
  <si>
    <t>Волкова Н.А</t>
  </si>
  <si>
    <t>Лисицын И.А</t>
  </si>
  <si>
    <t>Дубинина О.В</t>
  </si>
  <si>
    <t>Каверзин А.О</t>
  </si>
  <si>
    <t>Ольховик А.В.</t>
  </si>
  <si>
    <t>Чебан А.П</t>
  </si>
  <si>
    <t>Оныскин С.И</t>
  </si>
  <si>
    <t>Тонкарева В.И.</t>
  </si>
  <si>
    <t>Водолажская А.С</t>
  </si>
  <si>
    <t>Кулешов А.В</t>
  </si>
  <si>
    <t>Зацепин В.И</t>
  </si>
  <si>
    <t>Ширяев В.Б</t>
  </si>
  <si>
    <t xml:space="preserve">Миженская </t>
  </si>
  <si>
    <t>Ткаченко С.А</t>
  </si>
  <si>
    <t>Подгорный П.П</t>
  </si>
  <si>
    <t>Котелевская Т.С.</t>
  </si>
  <si>
    <t>Константинов В.В</t>
  </si>
  <si>
    <t>Барановская О.П</t>
  </si>
  <si>
    <t>Гребенюк В.С</t>
  </si>
  <si>
    <t>Зделов А.И</t>
  </si>
  <si>
    <t>Стаценко Н.И</t>
  </si>
  <si>
    <t>Телелюева Н.А</t>
  </si>
  <si>
    <t>Груднева М.А</t>
  </si>
  <si>
    <t>Парамонова Э.М</t>
  </si>
  <si>
    <t>Макаров А.Ю</t>
  </si>
  <si>
    <t>Сивульский О.Б</t>
  </si>
  <si>
    <t>Серяк Н.А</t>
  </si>
  <si>
    <t>Бреднева Е.Н(15 с 5</t>
  </si>
  <si>
    <t>КувшиноваН.В</t>
  </si>
  <si>
    <t>Ахмедова Т.Ш</t>
  </si>
  <si>
    <t>Шатковский Д.Г</t>
  </si>
  <si>
    <t>Кудашин П.В.(15 с 5</t>
  </si>
  <si>
    <t>ПАО МТС</t>
  </si>
  <si>
    <t>Семенов С.Ф(15 с 5</t>
  </si>
  <si>
    <t>Звездина Т.П (15 с 5</t>
  </si>
  <si>
    <t>Сивульский А.Б</t>
  </si>
  <si>
    <t>Федорова С.Н</t>
  </si>
  <si>
    <t>Попов Е.В</t>
  </si>
  <si>
    <t>Солодовник О.А</t>
  </si>
  <si>
    <t>Кравцова Т.С</t>
  </si>
  <si>
    <t>Мурзабекова З.Ф.</t>
  </si>
  <si>
    <t>Агеев А.А</t>
  </si>
  <si>
    <t>Парамонов Р.Н</t>
  </si>
  <si>
    <t>Эриза А.А.</t>
  </si>
  <si>
    <t>Турок СС.</t>
  </si>
  <si>
    <t>Богданова Г.Е.Г.</t>
  </si>
  <si>
    <t>льгота</t>
  </si>
  <si>
    <t>Бакай А.А</t>
  </si>
  <si>
    <t>Шатухина ОА</t>
  </si>
  <si>
    <t>Кароаглонян Больничный 71</t>
  </si>
  <si>
    <t>АО Горэлектросеть</t>
  </si>
  <si>
    <t>Зелюнка С.п Раздольная 71а</t>
  </si>
  <si>
    <t>Зелюнка СП Раздольная 56а</t>
  </si>
  <si>
    <t>Ткачева</t>
  </si>
  <si>
    <t xml:space="preserve">Лесянская </t>
  </si>
  <si>
    <t>Гулиев И.И</t>
  </si>
  <si>
    <t>Тараненко ЕВ</t>
  </si>
  <si>
    <t xml:space="preserve">Сугатова </t>
  </si>
  <si>
    <t>Картушин А.В</t>
  </si>
  <si>
    <t xml:space="preserve">прямого включения (k=1), полукосвенного                                 
включения (k=2), косвенного включения (k=3)                                 
</t>
  </si>
  <si>
    <t xml:space="preserve">   8(1).j.k      
</t>
  </si>
  <si>
    <t xml:space="preserve">однофазный (j=1), трехфазный (j=2)                                 
</t>
  </si>
  <si>
    <t xml:space="preserve">    
8(1).j      
</t>
  </si>
  <si>
    <t xml:space="preserve">Обеспечение средствами коммерческого учета электрической энергии (мощности)        
</t>
  </si>
  <si>
    <t xml:space="preserve">8(1)   </t>
  </si>
  <si>
    <t>Открытого типа (l = 1), закрытого типа (l = 2)</t>
  </si>
  <si>
    <t>8.j.k.l</t>
  </si>
  <si>
    <t>Трансформаторная мощность до 6.3 МВА включительно (k = 1), от 6.3 до 10 МВА включительно (k = 2), от 10 до 16 МВА включительно (k = 3), от 16 до 25 МВА (k = 4), от 25 до 32 МВА включительно (k = 5), от 32 до 40 МВА включительно (k = 6), от 40 до 63 МВА включительно (k = 7), от 63 МВА до 80 МВА включительно (k = 8), от 80 до 100 МВА включительно (k = 9), свыше 100 МВА включительно (k = 10)</t>
  </si>
  <si>
    <t>8.j.k</t>
  </si>
  <si>
    <t>Однотрансформаторные (j = 1), двухтрансформаторные и более (j = 2)</t>
  </si>
  <si>
    <t>8.j</t>
  </si>
  <si>
    <t>Строительство центров питания, подстанций уровнем напряжения 35 кВ и выше (ПС)</t>
  </si>
  <si>
    <t>Открытого типа (m = 1), закрытого типа (m = 2)</t>
  </si>
  <si>
    <t>7.j.k.l.m</t>
  </si>
  <si>
    <t>Трансформаторная мощность до 25 кВА включительно (l = 1), от 25 до 100 кВА включительно (l = 2), от 100 до 250 кВА включительно (l = 3), от 250 до 400 кВА (l = 4), от 400 до 630 кВА включительно (l = 5), от 630 до 1000 кВА включительно (l = 6), от 1000 до 1250 кВА включительно (l = 7), от 1250 кВА до 1600 кВА включительно (l = 8), от 1600 до 2000 кВА включительно (l = 9), от 2000 до 2500 кВА включительно (l = 10), от 2500 до 3150 кВА включительно (l = 11), свыше 3150 кВА (l = 12)</t>
  </si>
  <si>
    <t>7.j.k.l</t>
  </si>
  <si>
    <t>Однотрансформаторные (k = 1), двухтрансформаторные и более (k = 2)</t>
  </si>
  <si>
    <t>7.j.k</t>
  </si>
  <si>
    <t>Распределительные трансформаторные подстанции (РТП) 6/0,4 кВ (j=1), 10/0,4 кВ (j=2), 20/0,4 кВ (j=3), 6/10 (10/6) кВ (j=4), 10/20 (20/10) кВ (j=5), 6/20 (20/6) (j=6)</t>
  </si>
  <si>
    <t>7.j</t>
  </si>
  <si>
    <t>Строительство распределительных трансформаторных подстанций (РТП), с уровнем напряжения до 35 кВ</t>
  </si>
  <si>
    <t>6/0.4</t>
  </si>
  <si>
    <t>ООО "САС Групп"</t>
  </si>
  <si>
    <t>6.1.1.4.2</t>
  </si>
  <si>
    <t>1шт</t>
  </si>
  <si>
    <t>ГБУЗ СК "Городская больница" г. Невииномысска</t>
  </si>
  <si>
    <t>Шеремет Е.Н.</t>
  </si>
  <si>
    <t>6.1.1.3.2</t>
  </si>
  <si>
    <t>УЖКХ администрации г. Невинномысска</t>
  </si>
  <si>
    <t>10/0.4</t>
  </si>
  <si>
    <t>Шаршуков С.А.</t>
  </si>
  <si>
    <t>6.2.1.3.2</t>
  </si>
  <si>
    <t>СНТ "Мичуринец"</t>
  </si>
  <si>
    <t>СНТ "Водник-2"</t>
  </si>
  <si>
    <t>ООО "Маркет Лайн"</t>
  </si>
  <si>
    <t>ООО "Лагри"</t>
  </si>
  <si>
    <t>ООО "Чермет-Сервис"</t>
  </si>
  <si>
    <t>Комарова С.В.</t>
  </si>
  <si>
    <t>ИП Колюбаева И.В.</t>
  </si>
  <si>
    <t>Гаджимуратов Р.А.</t>
  </si>
  <si>
    <t>Саркисян Г.В.</t>
  </si>
  <si>
    <t>6.2.1.2.2</t>
  </si>
  <si>
    <t>тмг 160</t>
  </si>
  <si>
    <t xml:space="preserve">ктп 327 </t>
  </si>
  <si>
    <t>ПКТП-400/6/0,4 №327  160кВА</t>
  </si>
  <si>
    <t>ктп 330</t>
  </si>
  <si>
    <t>ТП-10/0,4№330 250кВА Войтенко А.Г долевое 0,06</t>
  </si>
  <si>
    <t>тмг 250/6/0,4</t>
  </si>
  <si>
    <t xml:space="preserve">КТП 331 Б.Мира </t>
  </si>
  <si>
    <t>КТПНп-кквк 400/6/0,4 №331 250кВА</t>
  </si>
  <si>
    <t xml:space="preserve">ТМГ-СЭЩ-250/10/0.4 зав. № 108803
</t>
  </si>
  <si>
    <t>КТП 342 Водоп 357</t>
  </si>
  <si>
    <t>КТПНп-ККвк-400/10/0,4№342 250кВА</t>
  </si>
  <si>
    <t xml:space="preserve">ТМГ 40/6/0,4
</t>
  </si>
  <si>
    <t>СНТ Зеленый мыс</t>
  </si>
  <si>
    <t>МТП 40/6/0,4 кВА№ 323 40кВА</t>
  </si>
  <si>
    <t>6.1.1.2.1</t>
  </si>
  <si>
    <t>ТП-10/0,4№325 250кВА</t>
  </si>
  <si>
    <t>6.2.2.3.2</t>
  </si>
  <si>
    <t>ТП-6/0,4№338 40кВА</t>
  </si>
  <si>
    <t>ТП-10/0,4№320  630кВА</t>
  </si>
  <si>
    <t>6.1.1.5.2</t>
  </si>
  <si>
    <t xml:space="preserve">ТП-10/0,4№191  400кВА </t>
  </si>
  <si>
    <t>6.2.1.4.2</t>
  </si>
  <si>
    <t>ТП-10/0,4№330 250кВА</t>
  </si>
  <si>
    <t xml:space="preserve">ТП-10/0,4№322 250кВА  </t>
  </si>
  <si>
    <t>Столбового/мачтового типа (m = 1), шкафного или киоскового типа (m = 2), блочного типа (m = 3), встроенного типа (m = 4)</t>
  </si>
  <si>
    <t>6.j.k.l.m</t>
  </si>
  <si>
    <t>Трансформаторная мощность до 25 кВА включительно (l = 1), от 25 до 100 кВА включительно (l = 2), от 100 до 250 кВА включительно (l = 3), от 250 до 400 кВА (l = 4), от 400 до 630 кВА включительно (l = 5), от 630 до 1000 кВА включительно (l = 6), от 1000 до 1250 кВА включительно (l = 7), от 1250 кВА до 1600 кВА включительно (l = 8), от 1600 до 2000 кВА включительно (l = 9), от 2000 до 2500 кВА включительно (l = 10), от 2500 до 3150 кВА включительно (l = 11), от 3150 до 4000 кВА включительно (l = 12), свыше 4000 кВА (l = 13)</t>
  </si>
  <si>
    <t>6.j.k.l</t>
  </si>
  <si>
    <t>6.j.k</t>
  </si>
  <si>
    <t>Трансформаторные подстанции (ТП), за исключением распределительных трансформаторных подстанций (РТП) 6/0,4 кВ (j=1), 10/0,4 кВ (j=2), 20/0,4 кВ (j=3), 6/10 (10/6) кВ (j=4), 10/20 (20/10) кВ (j=5), 6/20 (20/6) (j=6)</t>
  </si>
  <si>
    <t>6.j</t>
  </si>
  <si>
    <t>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</si>
  <si>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6.</t>
  </si>
  <si>
    <t>ООО "Золотой берег"</t>
  </si>
  <si>
    <t>5.6.1.1</t>
  </si>
  <si>
    <t>Терян А.А.</t>
  </si>
  <si>
    <t>Боев Г.А.</t>
  </si>
  <si>
    <t>Пилипенко А.А.</t>
  </si>
  <si>
    <t>Кодратенко С.М.</t>
  </si>
  <si>
    <t>ИП Трушин А.И.</t>
  </si>
  <si>
    <t>ИП Прошин А.В.</t>
  </si>
  <si>
    <t>Гордиенко Н.В.</t>
  </si>
  <si>
    <t>Караогланян А.А.</t>
  </si>
  <si>
    <t>Лебедянцев Ю.Ю.</t>
  </si>
  <si>
    <t>Гочияева Б.В.</t>
  </si>
  <si>
    <t>ООО "Спецстрой"</t>
  </si>
  <si>
    <t>ИП Алексеенко Е.Я.</t>
  </si>
  <si>
    <t>ПАО Вымпелком</t>
  </si>
  <si>
    <t>Тимофеев Д.В.</t>
  </si>
  <si>
    <t>190.13 бургер</t>
  </si>
  <si>
    <t>Бондаренко И.В</t>
  </si>
  <si>
    <t>5.4.3.1</t>
  </si>
  <si>
    <t>ВЛ-214.5</t>
  </si>
  <si>
    <t>Пиданов А.Н.</t>
  </si>
  <si>
    <t xml:space="preserve">5.4.1.1 </t>
  </si>
  <si>
    <t>КЛ-0,4 №232.Ш2</t>
  </si>
  <si>
    <t>Ширяев К.В (Шаршуков С.А)</t>
  </si>
  <si>
    <t>КЛ-209.7 Маяковского5а</t>
  </si>
  <si>
    <t>ГБУСО НКУСОМ</t>
  </si>
  <si>
    <t>5.4.3.2</t>
  </si>
  <si>
    <t>ШР-141ш Гагарина 51</t>
  </si>
  <si>
    <t xml:space="preserve">АО Первая Башенная Компания </t>
  </si>
  <si>
    <t>5.4.1.1</t>
  </si>
  <si>
    <t>ШСН ШСН РП-7 Калинина 169</t>
  </si>
  <si>
    <t>Камнева И.Н.</t>
  </si>
  <si>
    <t>КЛ+ШСН 101-3 Рев 57А</t>
  </si>
  <si>
    <t xml:space="preserve">Чернышова Я.В. </t>
  </si>
  <si>
    <t>5.4.2.1</t>
  </si>
  <si>
    <t>Б.Мира 12 кл 44</t>
  </si>
  <si>
    <t>Шатухина О.А. Б.Мира 12</t>
  </si>
  <si>
    <t>Гагарина 56 п4 ШУ-87-12</t>
  </si>
  <si>
    <t>Шатухина О.А. Гагарина 56</t>
  </si>
  <si>
    <t>павлова 1В ШСН 9-5</t>
  </si>
  <si>
    <t>Истратов Д.</t>
  </si>
  <si>
    <t>КЛ-280.4 Револ 147</t>
  </si>
  <si>
    <t>Панченко С.Н</t>
  </si>
  <si>
    <t>Зеленый мыс 279.5</t>
  </si>
  <si>
    <t>Ижукова Л.Б.</t>
  </si>
  <si>
    <t>ШУРП7ф10 Калинина 161а</t>
  </si>
  <si>
    <t>Джавадов Ш.Д.О</t>
  </si>
  <si>
    <t>Гагарина 50 А гараж 101.13</t>
  </si>
  <si>
    <t>Когайло И.В</t>
  </si>
  <si>
    <t>153.17 гараж Фрунзе 152а</t>
  </si>
  <si>
    <t>Менделеева 54 ШР11-3</t>
  </si>
  <si>
    <t>ШР-63 Северная 13а</t>
  </si>
  <si>
    <t xml:space="preserve"> 193 .Калинина 182</t>
  </si>
  <si>
    <t>ООО Догцентр</t>
  </si>
  <si>
    <t xml:space="preserve">ООО Вымпелком  Менделеева 42 </t>
  </si>
  <si>
    <t>Вымпелком п.Вокзальный</t>
  </si>
  <si>
    <t>Волошко А.Г</t>
  </si>
  <si>
    <t>МБУ ДО ДЮСШ ЗВС</t>
  </si>
  <si>
    <t>Холматов А.З</t>
  </si>
  <si>
    <t>Конорезова Л.В</t>
  </si>
  <si>
    <t xml:space="preserve">Гулиев И.И </t>
  </si>
  <si>
    <t>2,14 Б.Мира 28</t>
  </si>
  <si>
    <t>Пелюх Т.И.</t>
  </si>
  <si>
    <t>пят ш 6а</t>
  </si>
  <si>
    <t>285.2</t>
  </si>
  <si>
    <t xml:space="preserve"> Енник А.А.</t>
  </si>
  <si>
    <t xml:space="preserve"> Акопян Г.А</t>
  </si>
  <si>
    <t>Чурова Л.Н</t>
  </si>
  <si>
    <t xml:space="preserve"> Панов П.Г.</t>
  </si>
  <si>
    <t xml:space="preserve"> Зорова О.Б.</t>
  </si>
  <si>
    <t xml:space="preserve"> Поляков А.О.</t>
  </si>
  <si>
    <t xml:space="preserve"> Евлюкова ЛИ</t>
  </si>
  <si>
    <t>Корниенко А.А</t>
  </si>
  <si>
    <t xml:space="preserve"> Макеев И.О</t>
  </si>
  <si>
    <t xml:space="preserve"> Несмашная И.С.</t>
  </si>
  <si>
    <t>Стратов А.И.</t>
  </si>
  <si>
    <t xml:space="preserve"> Шатунов А.М.</t>
  </si>
  <si>
    <t>Колесников А.В</t>
  </si>
  <si>
    <t>Бадилеко В.А.</t>
  </si>
  <si>
    <t>Федосов</t>
  </si>
  <si>
    <t xml:space="preserve">Авраменко </t>
  </si>
  <si>
    <t>Деев А.П.</t>
  </si>
  <si>
    <t>Водолазов М.Л.</t>
  </si>
  <si>
    <t>Суховеев В.И</t>
  </si>
  <si>
    <t xml:space="preserve">Крестьянникова Е.А </t>
  </si>
  <si>
    <t>Люкайте Е.К</t>
  </si>
  <si>
    <t>Марковчин  Н.Н.</t>
  </si>
  <si>
    <t>264.2 ШСН</t>
  </si>
  <si>
    <t xml:space="preserve">Алехин Ю.В, Туков Н.С Кугрышева Л.И. </t>
  </si>
  <si>
    <t xml:space="preserve"> Количество ячеек в распределительном или переключательном пункте (до 5 ячеек включительно (l=1), от 5 до 10 ячеек включительно (l=2), от 10 до 15 ячеек включительно (l=3), свыше 15 ячеек (l=4)</t>
  </si>
  <si>
    <t>5.j.k.l</t>
  </si>
  <si>
    <t>Номинальный ток до 100 А включительно (k = 1), от 100 до 250 А включительно (k = 2), от 250 до 500 А включительно (k = 3), от 500 А до 1 000 А включительно (k = 4), свыше 1 000 А (k = 5)</t>
  </si>
  <si>
    <t>5.j.k</t>
  </si>
  <si>
    <t>Реклоузеры (j=1), линейные разъединители (j=2), выключатели нагрузки, устанавливаемые вне трансформаторных подстанций и распределительных и переключательных пунктов (РП) (j=3), распределительные пункты (РП), за исключением комплектных распределительных устройств наружной установки (КРН, КРУН) (j=4), комплектные распределительные устройства наружной установки (КРН, КРУН) (j=5), переключательные пункты (j=6)</t>
  </si>
  <si>
    <t>5.j</t>
  </si>
  <si>
    <t>Строительство пунктов секционирования</t>
  </si>
  <si>
    <t>5</t>
  </si>
  <si>
    <t>4.6.2.1.3.1</t>
  </si>
  <si>
    <t>4.1.2.1.3.1</t>
  </si>
  <si>
    <t>4.1.2.2.3.1</t>
  </si>
  <si>
    <t>4.1.2.2.2.1</t>
  </si>
  <si>
    <t>4.6.2.1.2.1</t>
  </si>
  <si>
    <t>4.1.2.1.2.1</t>
  </si>
  <si>
    <t>Шеремет Е.В.</t>
  </si>
  <si>
    <t>Лещенко А.И.</t>
  </si>
  <si>
    <t>Лада Е.Н.</t>
  </si>
  <si>
    <t>Крыжановский О.М.</t>
  </si>
  <si>
    <t>Заузанова Д.А.</t>
  </si>
  <si>
    <t>4.3.2.1.3.1</t>
  </si>
  <si>
    <t>3х120</t>
  </si>
  <si>
    <t>Павлова КЛ-10кв 4.3</t>
  </si>
  <si>
    <t xml:space="preserve"> ГБУЗ СК"Городская больница"г.Невинномысск КЛ-6кВ</t>
  </si>
  <si>
    <t>4х150</t>
  </si>
  <si>
    <t>кл-290.13</t>
  </si>
  <si>
    <t>бургер Б.Мира 27б</t>
  </si>
  <si>
    <t>Чернышова Я.В.</t>
  </si>
  <si>
    <t>4х185</t>
  </si>
  <si>
    <t>Матевосян Г.С</t>
  </si>
  <si>
    <t>КЛ291.6</t>
  </si>
  <si>
    <t>ООО МОК</t>
  </si>
  <si>
    <t xml:space="preserve">кл 232  </t>
  </si>
  <si>
    <t>Б.Мира 8 КЛ-44.22.2</t>
  </si>
  <si>
    <t>ИП Кондратенко С.М.</t>
  </si>
  <si>
    <t>4.6.2.1.1.1</t>
  </si>
  <si>
    <t>4.1.2.1.1.1</t>
  </si>
  <si>
    <t>3х95</t>
  </si>
  <si>
    <t>Насонов С.В.КЛ-6кВ № 81.1</t>
  </si>
  <si>
    <t>асбл</t>
  </si>
  <si>
    <t>4х95</t>
  </si>
  <si>
    <t>Микаелян Г.К</t>
  </si>
  <si>
    <t>Шатухина О.А. Б.Мира</t>
  </si>
  <si>
    <t>4.1.2.2.1.1</t>
  </si>
  <si>
    <t>Малыш-Федорцов Сергей Викторович</t>
  </si>
  <si>
    <t>4.1.1.2.3.3</t>
  </si>
  <si>
    <t>4.3.1.2.3.3</t>
  </si>
  <si>
    <t>4.6.1.2.3.3</t>
  </si>
  <si>
    <t>ООО Никопласт КЛ-191.1</t>
  </si>
  <si>
    <t>ООО Никопласт КЛ-191.3</t>
  </si>
  <si>
    <t xml:space="preserve">ООО Никопласт КЛ-191.3 </t>
  </si>
  <si>
    <t>ООО Вымпелком  Менделеева 42</t>
  </si>
  <si>
    <t>4.3.2.1.2.1</t>
  </si>
  <si>
    <t>4.2.2.1.2.1</t>
  </si>
  <si>
    <t>Мегбарян Л.С</t>
  </si>
  <si>
    <t>Волошко А.Г. (КЛ-0,4кВ № 325.1)</t>
  </si>
  <si>
    <t>4.5.2.1.3.1</t>
  </si>
  <si>
    <t>Волошко А.Г. (КЛ-10кВ № 325.5)</t>
  </si>
  <si>
    <t>4.5.1.2.3.3</t>
  </si>
  <si>
    <t>Волошко А.Г. (КЛ-10кВ № 325.1)</t>
  </si>
  <si>
    <t>разобраться со стоимостью</t>
  </si>
  <si>
    <t>Боярчук И.</t>
  </si>
  <si>
    <t>Парк победы КЛ-250.5</t>
  </si>
  <si>
    <t>4.2.2.1.3.1</t>
  </si>
  <si>
    <t>173.21</t>
  </si>
  <si>
    <t>Холматов М.П до  ШСН</t>
  </si>
  <si>
    <t>Холматов М.П до ВРУ ж.д</t>
  </si>
  <si>
    <t>кл-7.9</t>
  </si>
  <si>
    <t>4.3.2.2.5.1</t>
  </si>
  <si>
    <t>4.1.2.2.5.1</t>
  </si>
  <si>
    <t>4.2.2.2.5.1</t>
  </si>
  <si>
    <t>4.5.2.1.1.1</t>
  </si>
  <si>
    <t>крепость 264.2</t>
  </si>
  <si>
    <t>2,14 б.мира 28</t>
  </si>
  <si>
    <t>4.3.2.1.1.1</t>
  </si>
  <si>
    <t xml:space="preserve">Алехин Ю,В, Туков Н.С Кугрышева Л.И. </t>
  </si>
  <si>
    <t>285.1 гаражи Пят.ш 7а</t>
  </si>
  <si>
    <t>Количество кабелей в траншее, канале, туннеле или коллекторе, на галерее или эстакаде, труб в скважине (одна (n=1), две (n=2), три (n=3), четыре (n=4), более четырех (n=5)</t>
  </si>
  <si>
    <t>4.j.k.l.m.n</t>
  </si>
  <si>
    <t>Сечение провода (диапазон до 50 квадратных мм включительно (m=1), от 50 до 100 квадратных мм включительно (m=2), от 100 до 200 квадратных мм включительно (m=3), от 200 до 250 квадратных мм включительно (m=4), от 250 до 300 квадратных мм включительно (m=5), от 300 до 400 квадратных мм включительно (m=6), от 400 до 500 квадратных мм включительно (m=7), от 500 до 800 квадратных мм включительно (m=8), свыше 800 квадратных мм (m=9)</t>
  </si>
  <si>
    <t>4.j.k.l.m</t>
  </si>
  <si>
    <t>Кабели с резиновой и пластмассовой изоляцией (l = 1), бумажной изоляцией (l = 2)</t>
  </si>
  <si>
    <t>4.j.k.l</t>
  </si>
  <si>
    <t>Одножильные (k = 1) и многожильные (k = 2)</t>
  </si>
  <si>
    <t>4.j.k</t>
  </si>
  <si>
    <t>Способ прокладки кабельных линий (в траншеях (j = 1), в блоках (j = 2), в каналах (j = 3), в туннелях и коллекторах (j = 4), в галереях и эстакадах (j = 5), горизонтальное наклонное бурение (j = 6), подводная прокладка (j = 7)</t>
  </si>
  <si>
    <t>4.j</t>
  </si>
  <si>
    <t>Строительство кабельных линий</t>
  </si>
  <si>
    <t>4.</t>
  </si>
  <si>
    <t>3.3.1.4.2.2</t>
  </si>
  <si>
    <t>3.3.1.4.1.1</t>
  </si>
  <si>
    <t>3.3.1.4.2.1</t>
  </si>
  <si>
    <t>3.3.1.4.3.1</t>
  </si>
  <si>
    <t>ООО "Де Юре"</t>
  </si>
  <si>
    <t>ООО "Сплав-ЛД"</t>
  </si>
  <si>
    <t>Шатухина О.А.</t>
  </si>
  <si>
    <t>Цатурян А.С.</t>
  </si>
  <si>
    <t>ИП Морозова Ю.Б.</t>
  </si>
  <si>
    <t>ООО "Кавказэлектросервис</t>
  </si>
  <si>
    <t>Разумный С.Н.</t>
  </si>
  <si>
    <t xml:space="preserve">вл-194.4  Раздольная </t>
  </si>
  <si>
    <t>Шеремет Е.Н</t>
  </si>
  <si>
    <t>вл-124 Пушкина</t>
  </si>
  <si>
    <t>МБУ по благоустройству</t>
  </si>
  <si>
    <t>ВЛ-14.9 Энгельса 134</t>
  </si>
  <si>
    <t>ООО Альянс Рем</t>
  </si>
  <si>
    <t>ВЛ-124.9 Калинина 82</t>
  </si>
  <si>
    <t>Айрапетов Р.Ю</t>
  </si>
  <si>
    <t>ВЛ ШСН -214-5/1 Рев 27</t>
  </si>
  <si>
    <t>ВЛ-153-17 Фрунзе 150</t>
  </si>
  <si>
    <t>Китам И.И.</t>
  </si>
  <si>
    <t>ВЛ-214.17 Рев 57А</t>
  </si>
  <si>
    <t>Володина С.С.</t>
  </si>
  <si>
    <t>51.4 Анджиевского21а</t>
  </si>
  <si>
    <t>ООО МТС Анджиевского</t>
  </si>
  <si>
    <t>ВЛ-68.3 рождеств 33/1</t>
  </si>
  <si>
    <t>ООО МТС Рождественская</t>
  </si>
  <si>
    <t>ВЛ-192.5 Кузнецкий</t>
  </si>
  <si>
    <t>Вл-121.1 Нестеровская 92 а</t>
  </si>
  <si>
    <t>Алексеенко Е.Я.</t>
  </si>
  <si>
    <t>ВЛ-210.1 Апанасенко 13А</t>
  </si>
  <si>
    <t>Кирилюс П.С.</t>
  </si>
  <si>
    <t>Вл ШСН 193.30-2/2 Калинина 188</t>
  </si>
  <si>
    <t>ООО Вымпелком Калинина</t>
  </si>
  <si>
    <t>ВЛ-0,4кВ №117.4 Загородная 2/1</t>
  </si>
  <si>
    <t>ООО Вымпелком Загородная</t>
  </si>
  <si>
    <t>Матросова 71 вл-145.2</t>
  </si>
  <si>
    <t>ООО Вымпелком Матросова</t>
  </si>
  <si>
    <t>ВЛ-41.5</t>
  </si>
  <si>
    <t>ООО Вымпелком Апанасенко 1/1</t>
  </si>
  <si>
    <t>вл-142.10 район Гагарина 55</t>
  </si>
  <si>
    <t>170.3 Лабинская30</t>
  </si>
  <si>
    <t>вл-193.30.4</t>
  </si>
  <si>
    <t>Карсаков П.В.</t>
  </si>
  <si>
    <t>ВЛ-6кВ № 2 «Трасса»</t>
  </si>
  <si>
    <t>Доброгорский В.А(ВЛ-6 кВ №2)</t>
  </si>
  <si>
    <t>СНТ Зеленый мыс вл-323.1</t>
  </si>
  <si>
    <t>Доброгорский В.А</t>
  </si>
  <si>
    <t>Войтенко А.Г. Долевое 0,06</t>
  </si>
  <si>
    <t>330.2 Круговая 69а</t>
  </si>
  <si>
    <t>Войтенко А.Г.</t>
  </si>
  <si>
    <t>167.2 ейский 29а</t>
  </si>
  <si>
    <t>Рождественская 98 ВЛ-171.2</t>
  </si>
  <si>
    <t>Калмыков О.В</t>
  </si>
  <si>
    <t>9/173 механизатор</t>
  </si>
  <si>
    <t>Михайлова О.Э.</t>
  </si>
  <si>
    <t>Покровская 62 ВЛ-171.2</t>
  </si>
  <si>
    <t>Телелюева Е.Л.</t>
  </si>
  <si>
    <t>ВЛ-170..2 СНТ Восход 1487</t>
  </si>
  <si>
    <t>Цатурян А.С(СНТ Восход)</t>
  </si>
  <si>
    <t>ВЛ ШСН 155-16 Гагарина 56</t>
  </si>
  <si>
    <t>ВЛ-54.4 Линейная 24</t>
  </si>
  <si>
    <t>Королев Д.В.</t>
  </si>
  <si>
    <t>ВЛ-217.3 Трудовая84г</t>
  </si>
  <si>
    <t>Моргунова В.И</t>
  </si>
  <si>
    <t>ВЛ170.5 Платова</t>
  </si>
  <si>
    <t>Католицкий П.А</t>
  </si>
  <si>
    <t>9/173 СНТ Кубань</t>
  </si>
  <si>
    <t>Духанина Л.А.</t>
  </si>
  <si>
    <t>ВЛ-32.1 Садовая 147</t>
  </si>
  <si>
    <t>Кузьменко С.Г.</t>
  </si>
  <si>
    <t>вл-52.6 Матросова 6</t>
  </si>
  <si>
    <t>Бакай А.А.</t>
  </si>
  <si>
    <t>ВЛ-192.5 Восход 1511</t>
  </si>
  <si>
    <t xml:space="preserve">Монтажная 18 </t>
  </si>
  <si>
    <t>Малыш-Федорцов С.В.</t>
  </si>
  <si>
    <t>3.3.1.3.3.1</t>
  </si>
  <si>
    <t>264.5</t>
  </si>
  <si>
    <t>Сагателян Ю.А.</t>
  </si>
  <si>
    <t>ООО НЕОН</t>
  </si>
  <si>
    <t>118.5</t>
  </si>
  <si>
    <t>Стофорандов И.В</t>
  </si>
  <si>
    <t>124.2 Степная</t>
  </si>
  <si>
    <t>Велиев П.Н о</t>
  </si>
  <si>
    <t xml:space="preserve">Пелюх Т.И. </t>
  </si>
  <si>
    <t>патиг ш 6а</t>
  </si>
  <si>
    <t>264.2.5</t>
  </si>
  <si>
    <t>Крепость КЛ 264.2.5</t>
  </si>
  <si>
    <t>3.0.1.4.1.1</t>
  </si>
  <si>
    <t xml:space="preserve">296.3.2 Пят ш.8 </t>
  </si>
  <si>
    <t>Хабибулин Н.А</t>
  </si>
  <si>
    <t>194.3 Рождественская</t>
  </si>
  <si>
    <t>Сотникова А.С</t>
  </si>
  <si>
    <t>194.3 Русская</t>
  </si>
  <si>
    <t>Казиева Н.Н</t>
  </si>
  <si>
    <t>Энгельса ВЛ-101</t>
  </si>
  <si>
    <t>Перцева А.Д</t>
  </si>
  <si>
    <t>круговая ТП330</t>
  </si>
  <si>
    <t>Декань Н.Н.</t>
  </si>
  <si>
    <t>322 Текстильщик</t>
  </si>
  <si>
    <t>Беляева И.</t>
  </si>
  <si>
    <t>Количество цепей (одноцепная (n=1), двухцепная (n=2)</t>
  </si>
  <si>
    <t>3.j.k.l.m.n.</t>
  </si>
  <si>
    <t>Сечение провода (диапазон до 50 квадратных мм включительно (m = 1), от 50 до 100 квадратных мм включительно (m = 2), от 100 до 200 квадратных мм включительно (m = 3), от 200 до 500 квадратных мм включительно (m = 4), от 500 до 800 квадратных мм включительно (m = 5), свыше 800 квадратных мм (m = 6))</t>
  </si>
  <si>
    <t>3.j.k.l.m</t>
  </si>
  <si>
    <t>Материал провода (медный (l = 1), стальной (l = 2), сталеалюминиевый (l = 3), алюминиевый (l = 4))</t>
  </si>
  <si>
    <t>3.j.k.l</t>
  </si>
  <si>
    <t>Тип провода (изолированный провод (k = 1), неизолированный провод (k = 2))</t>
  </si>
  <si>
    <t>3.j.k</t>
  </si>
  <si>
    <t>Материал опоры (деревянные (j = 1), металлические (j = 2), железобетонные (j = 3))</t>
  </si>
  <si>
    <t>3.j</t>
  </si>
  <si>
    <t>Строительство воздушных линий</t>
  </si>
  <si>
    <t>3.</t>
  </si>
  <si>
    <t>Пропускная способность, кВт/Максимальная мощность, кВт</t>
  </si>
  <si>
    <t>Протяженность (для линий электропередачи), метров/
Количество пунктов секционирования, штук/
Количество точек учета, штук</t>
  </si>
  <si>
    <t>Уровень напряжения, кВ</t>
  </si>
  <si>
    <t>Год ввода объекта</t>
  </si>
  <si>
    <t>Объект электросетевого хозяйства/Средство коммерческого учета электрической энергии (мощности)</t>
  </si>
  <si>
    <t>№ п/п</t>
  </si>
  <si>
    <t>Расходы на строительство введенных в эксплуатацию объектов электросетевого хозяйства для целей технологического присоединения АО "НЭСК" за 2020-2022гг.</t>
  </si>
  <si>
    <t>Приложение 1</t>
  </si>
  <si>
    <t>Барсуков А.Г,</t>
  </si>
  <si>
    <t>3.3.1.4.2 (1).1</t>
  </si>
  <si>
    <t>УЖКХ адмигистрации г.Невинномысска</t>
  </si>
  <si>
    <t>4.6 (1).1.1.3.1</t>
  </si>
  <si>
    <t>Лебедянцев Ю.Ю,</t>
  </si>
  <si>
    <t>Караогланян В.С.</t>
  </si>
  <si>
    <t>ПАО "Вымпелком"</t>
  </si>
  <si>
    <t>Арутюнов Э.Л.</t>
  </si>
  <si>
    <t>Бочкарева Ю.А.</t>
  </si>
  <si>
    <t>ИП Джавадов Ш.О.Д.</t>
  </si>
  <si>
    <t>ИП Суков А.С.</t>
  </si>
  <si>
    <t>Конорезова Л.В.</t>
  </si>
  <si>
    <t>Азнауров Н.С.</t>
  </si>
  <si>
    <t>Медведьев Н.В.</t>
  </si>
  <si>
    <t>Шевцова Ю.Ю.</t>
  </si>
  <si>
    <t>Зелюнка А.И.</t>
  </si>
  <si>
    <t>Парамонов Р.М.</t>
  </si>
  <si>
    <t>Парамонов Е.М.</t>
  </si>
  <si>
    <t>Моргунова В.М.</t>
  </si>
  <si>
    <t>Зелюнка С.К.</t>
  </si>
  <si>
    <t>ПАО "МТС"</t>
  </si>
  <si>
    <t>ООО "Южгидроэнергострой"</t>
  </si>
  <si>
    <t>ООО "ГЭС"</t>
  </si>
  <si>
    <t>2.3.1.4.2.1</t>
  </si>
  <si>
    <t>2.3.1.4.1.1</t>
  </si>
  <si>
    <t>2.3.1.4.2.2</t>
  </si>
  <si>
    <t>2.3.1.4.3.1</t>
  </si>
  <si>
    <t>до 150</t>
  </si>
  <si>
    <t>3.1.2.1.3.1</t>
  </si>
  <si>
    <t>3.1 (6).2.1.3.1</t>
  </si>
  <si>
    <r>
      <t>3.</t>
    </r>
    <r>
      <rPr>
        <sz val="12"/>
        <color rgb="FFFF0000"/>
        <rFont val="Times New Roman"/>
        <family val="1"/>
        <charset val="204"/>
      </rPr>
      <t>1 (6)</t>
    </r>
    <r>
      <rPr>
        <sz val="12"/>
        <color rgb="FF000000"/>
        <rFont val="Times New Roman"/>
        <family val="1"/>
        <charset val="204"/>
      </rPr>
      <t>.2.1.3.2</t>
    </r>
  </si>
  <si>
    <t>3.1 (6).2.2.3.1</t>
  </si>
  <si>
    <t>3.1 (6).2.1.2.1</t>
  </si>
  <si>
    <t>3.1 (6).1.1.2.1</t>
  </si>
  <si>
    <t>3.1 (6).1.1.3.1</t>
  </si>
  <si>
    <t>4.6.1.1</t>
  </si>
  <si>
    <t>4.6.2.1</t>
  </si>
  <si>
    <t>5.1.1.3.2</t>
  </si>
  <si>
    <t>5.1.1.4.2</t>
  </si>
  <si>
    <t>5.1.1.2.2</t>
  </si>
  <si>
    <t>5.2.1.3.2</t>
  </si>
  <si>
    <t>Расходы на строительство объекта/на обеспечение средствами коммерческого учета электрической энергии (мощности). (без НДС), тыс руб</t>
  </si>
  <si>
    <t>4.1 (6).2.1.3.1</t>
  </si>
  <si>
    <t>4.1 (6).2.1.3.2</t>
  </si>
  <si>
    <t>4.1 (6).2.2.3.1</t>
  </si>
  <si>
    <t>4.1 (6).2.1.2.1</t>
  </si>
  <si>
    <t>4.1 (6).1.1.2.1</t>
  </si>
  <si>
    <t>4.1 (6).1.1.3.1</t>
  </si>
  <si>
    <t>5.6.2.1</t>
  </si>
  <si>
    <t>6.1.1.2.2</t>
  </si>
  <si>
    <t>0,4кВ</t>
  </si>
  <si>
    <t>1-20кВ</t>
  </si>
  <si>
    <t>км</t>
  </si>
  <si>
    <t>м</t>
  </si>
  <si>
    <t>кВт</t>
  </si>
  <si>
    <t>км 1-20</t>
  </si>
  <si>
    <t>кВт1-20</t>
  </si>
  <si>
    <t>по 0,4</t>
  </si>
  <si>
    <t>км 0,4</t>
  </si>
  <si>
    <t>руб 1-20</t>
  </si>
  <si>
    <t>1.</t>
  </si>
  <si>
    <t>1.j</t>
  </si>
  <si>
    <t>1.j.k</t>
  </si>
  <si>
    <t>1.j.k.l</t>
  </si>
  <si>
    <t>1.j.k.l.m</t>
  </si>
  <si>
    <t>1.j.k.l.m.n.</t>
  </si>
  <si>
    <t>1.3.1.4.2.1</t>
  </si>
  <si>
    <t>1.3.1.4.1.1</t>
  </si>
  <si>
    <t>1.3.1.4.2.2</t>
  </si>
  <si>
    <t>1.3.1.4.3.1</t>
  </si>
  <si>
    <t>2.</t>
  </si>
  <si>
    <t>2.j</t>
  </si>
  <si>
    <t>2.j.k</t>
  </si>
  <si>
    <t>2.j.k.l</t>
  </si>
  <si>
    <t>2.j.k.l.m</t>
  </si>
  <si>
    <t>2.j.k.l.m.n</t>
  </si>
  <si>
    <t>2.1.2.1.2.1</t>
  </si>
  <si>
    <t>2.6.2.1.3.1</t>
  </si>
  <si>
    <t>2.1.2.1.3.1</t>
  </si>
  <si>
    <t>2.1.2.2.1.1</t>
  </si>
  <si>
    <t>2.6.2.1.2.1</t>
  </si>
  <si>
    <t>2.1.2.2.3.1</t>
  </si>
  <si>
    <t>2.1.2.1.1.1</t>
  </si>
  <si>
    <t>2.6.2.1.1.1</t>
  </si>
  <si>
    <t>3.4.1.1</t>
  </si>
  <si>
    <t>3.4.2.1</t>
  </si>
  <si>
    <t>3.4.3.1</t>
  </si>
  <si>
    <t>3.4.3.2</t>
  </si>
  <si>
    <t xml:space="preserve">3.4.1.1 </t>
  </si>
  <si>
    <t xml:space="preserve">Строительство комплектных трансформаторных подстанций (КТП) с уровнем напряжения до 35 кВ
</t>
  </si>
  <si>
    <t>4.2.1.3.2</t>
  </si>
  <si>
    <t>4.1.1.2.1</t>
  </si>
  <si>
    <t>4.1.1.3.2</t>
  </si>
  <si>
    <t>4.1.1.4.2</t>
  </si>
  <si>
    <t>4.2.1.2.2</t>
  </si>
  <si>
    <t>4.1.1.2.2</t>
  </si>
  <si>
    <t>5.j.k.l.m</t>
  </si>
  <si>
    <t>Трансформаторная мощность до 6.3 МВА включительно (k = 1), от 6.3 до 10 МВА включительно (k = 2), от 10 до 16 МВА включительно (k = 3), от 16 до 25 МВА (k = 4), от 25 до 32 МВА включительно (k = 5), от 32 до 40 МВА включительно (k = 6), от 40 до 63 МВА включительно (k = 7), от 63 МВА до 80 МВА включительно (k = 8), от 80 до 100 МВА включительно (k = 9), свыше 100 МВА (k = 10)</t>
  </si>
  <si>
    <t xml:space="preserve">    
7.j      
</t>
  </si>
  <si>
    <t xml:space="preserve">   7.j.k      
</t>
  </si>
  <si>
    <t>7.1.1</t>
  </si>
  <si>
    <t>7.2.1</t>
  </si>
  <si>
    <t>7.2.2</t>
  </si>
  <si>
    <t>1.j.k.l.m.n.o</t>
  </si>
  <si>
    <t>на металлических опорах, за исключением многогранных (o = 1), на многогранных опорах (o = 2)</t>
  </si>
  <si>
    <t>2.6.1.1.3.1</t>
  </si>
  <si>
    <t>2.1.2.1.3.2</t>
  </si>
  <si>
    <t>2.1.1.1.2.1</t>
  </si>
  <si>
    <t>2.1.1.1.3.1</t>
  </si>
  <si>
    <t>2.6.1.1.2.1</t>
  </si>
  <si>
    <t>Расходы на строительство введенных в эксплуатацию объектов электросетевого хозяйства для целей технологического присоединения АО "НЭСК" за 2021-2023гг.</t>
  </si>
  <si>
    <t>Монтаж приборов учета по ИСУ ТУ №20 Пеляк А.В</t>
  </si>
  <si>
    <t>Монтаж приборов учета по ИСУ ТУ №25 Пеляк Т.А.</t>
  </si>
  <si>
    <t>Монтаж приборов учета по ИСУ ТУ №27 Зелюнка С.К.</t>
  </si>
  <si>
    <t>Монтаж приборов учета по ИСУ ТУ №73 Зелюнка С.К.</t>
  </si>
  <si>
    <t>Монтаж приборов учета по ИСУ ТУ №74 Зелюнка С.К.</t>
  </si>
  <si>
    <t xml:space="preserve">Монтаж приборов учета по ИСУ ТУ №80 Угликова Е.С. </t>
  </si>
  <si>
    <t>Монтаж приборов учета по ИСУ ТУ №344 Сокаев С.С.</t>
  </si>
  <si>
    <t>Монтаж приборов учета по ИСУ ТУ №343 Сокаев С.С.</t>
  </si>
  <si>
    <t xml:space="preserve">Монтаж приборов учета по ИСУ ТУ №26 Зелюнка С.К. </t>
  </si>
  <si>
    <t>Монтаж приборов учета по ИСУ ТУ №81 Дихнова А.В.</t>
  </si>
  <si>
    <t>Монтаж приборов учета по ИСУ ТУ №22 Исакова Г.А</t>
  </si>
  <si>
    <t>Монтаж приборов учета по ИСУ ТУ №58 Крыжановская Т.В.</t>
  </si>
  <si>
    <t>Монтаж приборов учета по ИСУ ТУ №275 Медведев Н.В.</t>
  </si>
  <si>
    <t>Монтаж приборов учета по ИСУ ТУ №315 Караогланян В.С.</t>
  </si>
  <si>
    <t xml:space="preserve">Монтаж приборов учета по ИСУ ТУ №14  Колбасин П.И. </t>
  </si>
  <si>
    <t>Монтаж приборов учета по ИСУ ТУ №180 Карамян А.Е.</t>
  </si>
  <si>
    <t xml:space="preserve">Монтаж приборов учета по ИСУ ТУ №77 Умников Е.В. </t>
  </si>
  <si>
    <t>Монтаж приборов учета по ИСУ ТУ №373 Борзов И.Ю.</t>
  </si>
  <si>
    <t>Монтаж приборов учета по ИСУ ТУ № 325 Казарян В.Р.</t>
  </si>
  <si>
    <t>Монтаж приборов учета по ИСУ ТУ №316 Караогланян В.С.</t>
  </si>
  <si>
    <t>Монтаж приборов учета по ИСУ ТУ №170 Дышеков Х.Х.</t>
  </si>
  <si>
    <t>Монтаж приборов учета по ИСУ ТУ №299-Э Рыбинский В.Я.</t>
  </si>
  <si>
    <t>Монтаж приборов учета по ИСУ ТУ №374 Симоненко А.В.</t>
  </si>
  <si>
    <t xml:space="preserve">Монтаж приборов учета по ИСУ ТУ №378 Чалый К.А. </t>
  </si>
  <si>
    <t>Монтаж приборов учета по ИСУ ТУ №372 Гладких Т.Н.</t>
  </si>
  <si>
    <t>Монтаж приборов учета по ИСУ ТУ №349 Праскова Е.А</t>
  </si>
  <si>
    <t>Монтаж приборов учета по ИСУ ТУ №11 Зорин Д.С.</t>
  </si>
  <si>
    <t>Монтаж приборов учета по ИСУ ТУ №328Э Левченко Н.И.</t>
  </si>
  <si>
    <t xml:space="preserve">Монтаж приборов учета по ИСУ ТУ №350 Стешиц М.А. </t>
  </si>
  <si>
    <t>Монтаж приборов учета по ИСУ ТУ №381 Гаврин Д.В.</t>
  </si>
  <si>
    <t>Монтаж приборов учета по ИСУ ТУ №287 Гайворонская Д.Н.</t>
  </si>
  <si>
    <t>Монтаж приборов учета по ИСУ ТУ №358 Ганицкий Г.В.</t>
  </si>
  <si>
    <t>Монтаж приборов учета по ИСУ ТУ№382  Гречин А.С</t>
  </si>
  <si>
    <t xml:space="preserve">Монтаж приборов учета по ИСУ ТУ№337 Колюбаева И.В. </t>
  </si>
  <si>
    <t>Монтаж приборов учета по ИСУ ТУ№303Б Кондратенко С.М.</t>
  </si>
  <si>
    <t xml:space="preserve">Монтаж приборов учета по ИСУ ТУ№376 Конорезов А.Н. </t>
  </si>
  <si>
    <t xml:space="preserve">Монтаж приборов учета по ИСУ ТУ№368 Короткова Т.И. </t>
  </si>
  <si>
    <t>Монтаж приборов учета по ИСУ ТУ№385  Мкртычян А.В.</t>
  </si>
  <si>
    <t>Монтаж приборов учета по ИСУ ТУ№379 МКУ ГО и ЧС Очкин А.Н.</t>
  </si>
  <si>
    <t>Монтаж приборов учета по ИСУ ТУ№288 ПАО МТС Чумаков Д.В.</t>
  </si>
  <si>
    <t>Монтаж приборов учета по ИСУ ТУ№370Б Плотникова М.В.</t>
  </si>
  <si>
    <t xml:space="preserve">Монтаж приборов учета по ИСУ ТУ№339 Ржевский В.С. </t>
  </si>
  <si>
    <t xml:space="preserve">Монтаж приборов учета по ИСУ ТУ№374 Симомненко А.В. </t>
  </si>
  <si>
    <t xml:space="preserve">Монтаж приборов учета по ИСУ ТУ№360  Сокаев Г.С. </t>
  </si>
  <si>
    <t>Монтаж приборов учета по ИСУ ТУ№345 Стерекова А.Н.</t>
  </si>
  <si>
    <t xml:space="preserve">Монтаж приборов учета по ИСУ ТУ№364 Шеремет Е.Н. </t>
  </si>
  <si>
    <t xml:space="preserve">Монтаж приборов учета по ИСУ ТУ№363 Шеремет Е.Н. </t>
  </si>
  <si>
    <t xml:space="preserve">Монтаж приборов учета по ИСУ ТУ№362 Шеремет Е.Н. </t>
  </si>
  <si>
    <t xml:space="preserve">Монтаж приборов учета по ИСУ ТУ№366 Шеремет Е.Н. </t>
  </si>
  <si>
    <t xml:space="preserve">Монтаж приборов учета по ИСУ ТУ№365 Шеремет Е.Н. </t>
  </si>
  <si>
    <t xml:space="preserve">Монтаж приборов учета по ИСУ ТУ№323 Ширяев В.Б. </t>
  </si>
  <si>
    <t>Монтаж приборов учета по ИСУ ТУ№167  Адиларян А.А</t>
  </si>
  <si>
    <t>Монтаж приборов учета по ИСУ ТУ№19 Адлер А.А.</t>
  </si>
  <si>
    <t xml:space="preserve">Монтаж приборов учета по ИСУ ТУ№68 Адлер А.А. </t>
  </si>
  <si>
    <t>Монтаж приборов учета по ИСУ ТУ№168  Айвазян С.Р</t>
  </si>
  <si>
    <t xml:space="preserve">Монтаж приборов учета по ИСУ ТУ№21 Айвазян С.Р. </t>
  </si>
  <si>
    <t xml:space="preserve">Монтаж приборов учета по ИСУ ТУ№169  Анищенко Д.А </t>
  </si>
  <si>
    <t>Монтаж приборов учета по ИСУ ТУ№172  Байрамов В.Д</t>
  </si>
  <si>
    <t xml:space="preserve">Монтаж приборов учета по ИСУ ТУ№84  Батрашкин В.Ю. </t>
  </si>
  <si>
    <t>Монтаж приборов учета по ИСУ ТУ№67  Белошева В.И.</t>
  </si>
  <si>
    <t xml:space="preserve">Монтаж приборов учета по ИСУ ТУ№55 Борисов В.Н. </t>
  </si>
  <si>
    <t>Монтаж приборов учета по ИСУ ТУ№134 Боровок А.М</t>
  </si>
  <si>
    <t>Монтаж приборов учета по ИСУ ТУ№15 Бузова Л.Е.</t>
  </si>
  <si>
    <t>Монтаж приборов учета по ИСУ ТУ№43 Вальков Д.В.</t>
  </si>
  <si>
    <t xml:space="preserve">Монтаж приборов учета по ИСУ ТУ№95 Вишневский И.В </t>
  </si>
  <si>
    <t>Монтаж приборов учета по ИСУ ТУ№72 Власенко А.В.</t>
  </si>
  <si>
    <t xml:space="preserve">Монтаж приборов учета по ИСУ ТУ№110 Восканян А.А </t>
  </si>
  <si>
    <t xml:space="preserve">Монтаж приборов учета по ИСУ ТУ№7  Гаврин Д.В. </t>
  </si>
  <si>
    <t>Монтаж приборов учета по ИСУ ТУ№70  Гаврин Д.В.</t>
  </si>
  <si>
    <t>Монтаж приборов учета по ИСУ ТУ№87Б Газалапов М.-С. С</t>
  </si>
  <si>
    <t>Монтаж приборов учета по ИСУ ТУ№12 Ганицкий Г.В.</t>
  </si>
  <si>
    <t xml:space="preserve">Монтаж приборов учета по ИСУ ТУ№38 Горковенко С.Ю. </t>
  </si>
  <si>
    <t xml:space="preserve">Монтаж приборов учета по ИСУ ТУ№97 Губская А.С </t>
  </si>
  <si>
    <t xml:space="preserve">Монтаж приборов учета по ИСУ ТУ№62 Джамалиев Г.Б. </t>
  </si>
  <si>
    <t>Монтаж приборов учета по ИСУ ТУ№126 Ежов Р.В.</t>
  </si>
  <si>
    <t>Монтаж приборов учета по ИСУ ТУ№60 Емельянова Е.А.</t>
  </si>
  <si>
    <t xml:space="preserve">Монтаж приборов учета по ИСУ ТУ№23 Есина Ю.В. </t>
  </si>
  <si>
    <t>Монтаж приборов учета по ИСУ ТУ№123 Задорожный И.А</t>
  </si>
  <si>
    <t>Монтаж приборов учета по ИСУ ТУ№120 Задоян А.Р.</t>
  </si>
  <si>
    <t>Монтаж приборов учета по ИСУ ТУ№64 Задоян А.Р.</t>
  </si>
  <si>
    <t>Монтаж приборов учета по ИСУ ТУ№1 Закотянский А.А.</t>
  </si>
  <si>
    <t>Монтаж приборов учета по ИСУ ТУ№107 Замятин С. В.</t>
  </si>
  <si>
    <t>Монтаж приборов учета по ИСУ ТУ№114  Зубанева М.Ю.</t>
  </si>
  <si>
    <t>Монтаж приборов учета по ИСУ ТУ№87 Ивко Н.М.</t>
  </si>
  <si>
    <t xml:space="preserve">Монтаж приборов учета по ИСУ ТУ№154 Кирилюс Д.С </t>
  </si>
  <si>
    <t xml:space="preserve">Монтаж приборов учета по ИСУ ТУ№155 Кирилюс Д.С </t>
  </si>
  <si>
    <t xml:space="preserve">Монтаж приборов учета по ИСУ ТУ№156 Кирилюс Д.С </t>
  </si>
  <si>
    <t xml:space="preserve">Монтаж приборов учета по ИСУ ТУ№157 Кирилюс Д.С </t>
  </si>
  <si>
    <t xml:space="preserve">Монтаж приборов учета по ИСУ ТУ№158 Кирилюс Д.С </t>
  </si>
  <si>
    <t xml:space="preserve">Монтаж приборов учета по ИСУ ТУ№159 Кирилюс Д.С </t>
  </si>
  <si>
    <t>Монтаж приборов учета по ИСУ ТУ№127 Кнышук В.В</t>
  </si>
  <si>
    <t>Монтаж приборов учета по ИСУ ТУ№85 Коваль В.В</t>
  </si>
  <si>
    <t>Монтаж приборов учета по ИСУ ТУ№128  Козлова И.П</t>
  </si>
  <si>
    <t>Монтаж приборов учета по ИСУ ТУ№33 Конорезова Л.В.</t>
  </si>
  <si>
    <t>Монтаж приборов учета по ИСУ ТУ№47 Крыжановский А.Э.</t>
  </si>
  <si>
    <t>Монтаж приборов учета по ИСУ ТУ№17 Кулаков В.Н.</t>
  </si>
  <si>
    <t>Монтаж приборов учета по ИСУ ТУ№56 Кулешов А.В.</t>
  </si>
  <si>
    <t>Монтаж приборов учета по ИСУ ТУ№42 Куличенко М.В.</t>
  </si>
  <si>
    <t>Монтаж приборов учета по ИСУ ТУ№79 Кучерова Т.И.</t>
  </si>
  <si>
    <t>Монтаж приборов учета по ИСУ ТУ№123 Мирный И. С.</t>
  </si>
  <si>
    <t>Монтаж приборов учета по ИСУ ТУ№98 Лебедянцев Ю.Ю</t>
  </si>
  <si>
    <t>Монтаж приборов учета по ИСУ ТУ№51 Леонов А.А.</t>
  </si>
  <si>
    <t>Монтаж приборов учета по ИСУ ТУ№69 Лозинина Л.Н.</t>
  </si>
  <si>
    <t>Монтаж приборов учета по ИСУ ТУ№36 Лукашевич М.П.</t>
  </si>
  <si>
    <t xml:space="preserve">Монтаж приборов учета по ИСУ ТУ№70Б Луценко И.А. </t>
  </si>
  <si>
    <t>Монтаж приборов учета по ИСУ ТУ№124 Макаров Е.П</t>
  </si>
  <si>
    <t>Монтаж приборов учета по ИСУ ТУ№59 Макеева Л.В</t>
  </si>
  <si>
    <t>Монтаж приборов учета по ИСУ ТУ№54 Малевин Г.Н.</t>
  </si>
  <si>
    <t xml:space="preserve">Монтаж приборов учета по ИСУ ТУ№34Б  Маргарян А.Г. </t>
  </si>
  <si>
    <t>Монтаж приборов учета по ИСУ ТУ№91 Мельник Д.Ю</t>
  </si>
  <si>
    <t>Монтаж приборов учета по ИСУ ТУ№125 Моргунова В.М</t>
  </si>
  <si>
    <t xml:space="preserve">Монтаж приборов учета по ИСУ ТУ№18 Новосельцев Н.Ф. </t>
  </si>
  <si>
    <t>Монтаж приборов учета по ИСУ ТУ№44 Климахин В.Б</t>
  </si>
  <si>
    <t xml:space="preserve">Монтаж приборов учета по ИСУ ТУ№83  Палагута А.А. </t>
  </si>
  <si>
    <t>Монтаж приборов учета по ИСУ ТУ№3 Пальчикова К.В.</t>
  </si>
  <si>
    <t>Монтаж приборов учета по ИСУ ТУ№115 Печенников А.О</t>
  </si>
  <si>
    <t xml:space="preserve">Монтаж приборов учета по ИСУ ТУ№116 Печенников А.О </t>
  </si>
  <si>
    <t>Монтаж приборов учета по ИСУ ТУ№48 Печенников А.О.</t>
  </si>
  <si>
    <t>Монтаж приборов учета по ИСУ ТУ№166  Пятова Е. Б</t>
  </si>
  <si>
    <t>Монтаж приборов учета по ИСУ ТУ№92 Раевский А.С</t>
  </si>
  <si>
    <t>Монтаж приборов учета по ИСУ ТУ№121 Раемская И.И</t>
  </si>
  <si>
    <t>Монтаж приборов учета по ИСУ ТУ№41 Райчук И.М.</t>
  </si>
  <si>
    <t>Монтаж приборов учета по ИСУ ТУ№52  Рахманина Н.Ю.</t>
  </si>
  <si>
    <t>Монтаж приборов учета по ИСУ ТУ№171 Ромашина Е.В.</t>
  </si>
  <si>
    <t xml:space="preserve">Монтаж приборов учета по ИСУ ТУ№161  Ружина Л.И </t>
  </si>
  <si>
    <t>Монтаж приборов учета по ИСУ ТУ№113 Рыкова Л.В</t>
  </si>
  <si>
    <t>Монтаж приборов учета по ИСУ ТУ№105 Савельева Ф.И.</t>
  </si>
  <si>
    <t>Монтаж приборов учета по ИСУ ТУ№57 Симонян А.В.</t>
  </si>
  <si>
    <t>Монтаж приборов учета по ИСУ ТУ№71 Скоряков О.В.</t>
  </si>
  <si>
    <t>Монтаж приборов учета по ИСУ ТУ№82 Сокаев С.С.</t>
  </si>
  <si>
    <t>Монтаж приборов учета по ИСУ ТУ№31 Сокаев С.С.</t>
  </si>
  <si>
    <t>Монтаж приборов учета по ИСУ ТУ№49 Соловьева И.Г.</t>
  </si>
  <si>
    <t xml:space="preserve">Монтаж приборов учета по ИСУ ТУ№65 Стаценко С.А. </t>
  </si>
  <si>
    <t>Монтаж приборов учета по ИСУ ТУ№66  Стаценко С.А.</t>
  </si>
  <si>
    <t>Монтаж приборов учета по ИСУ ТУ№10 Супрун Д.А.</t>
  </si>
  <si>
    <t>Монтаж приборов учета по ИСУ ТУ№132 Таций А.Ф</t>
  </si>
  <si>
    <t>Монтаж приборов учета по ИСУ ТУ№130 УЖКХ администрации г.Невинномысска</t>
  </si>
  <si>
    <t>Монтаж приборов учета по ИСУ ТУ№99 Хомутова А.Г</t>
  </si>
  <si>
    <t>Монтаж приборов учета по ИСУ ТУ№94 Цымбалюк А.Н</t>
  </si>
  <si>
    <t>Монтаж приборов учета по ИСУ ТУ№9 Чумакова Л.И.</t>
  </si>
  <si>
    <t>Монтаж приборов учета по ИСУ ТУ№34 Алиханди Я.К.</t>
  </si>
  <si>
    <t>Монтаж приборов учета по ИСУ ТУ№141 Юренко З.Н</t>
  </si>
  <si>
    <t xml:space="preserve">Монтаж приборов учета по ИСУ ТУ№75 Яговкин А.Л. </t>
  </si>
  <si>
    <t>Монтаж приборов учета по ИСУ ТУ№37  Медведь П.М.</t>
  </si>
  <si>
    <t>Монтаж приборов учета по ИСУ ТУ№143  ООО ВымпелКом</t>
  </si>
  <si>
    <t>Монтаж приборов учета по ИСУ ТУ№271 ПАО МТС</t>
  </si>
  <si>
    <t>Монтаж приборов учета по ИСУ ТУ№17 Гречкин Н.И.</t>
  </si>
  <si>
    <t>Монтаж приборов учета по ИСУ ТУ№157 Подогова Е.И.</t>
  </si>
  <si>
    <t xml:space="preserve">Монтаж приборов учета по ИСУ ТУ№367 Караогланян А.А. </t>
  </si>
  <si>
    <t>Монтаж приборов учета по ИСУ ТУ№13Б Калоеров В.Г.</t>
  </si>
  <si>
    <t>Монтаж приборов учета по ИСУ ТУ№183 Кравцова С.В.</t>
  </si>
  <si>
    <t>Монтаж приборов учета по ИСУ ТУ№370 Долгов В.И.</t>
  </si>
  <si>
    <t>Монтаж приборов учета по ИСУ ТУ№63 Кучерявенко О.И</t>
  </si>
  <si>
    <t>Монтаж приборов учета по ИСУ ТУ№166 Кузнецов В.Г. АО НБК</t>
  </si>
  <si>
    <t>Монтаж приборов учета по ИСУ ТУ№24 Барсуков А.Г.</t>
  </si>
  <si>
    <t>Монтаж приборов учета по ИСУ ТУ№25 Барсуков А.Г.</t>
  </si>
  <si>
    <t>Монтаж приборов учета по ИСУ ТУ№196 Гордиенко Н.В.</t>
  </si>
  <si>
    <t>Монтаж приборов учета по ИСУ ТУ№196 Гордиенко Н.В</t>
  </si>
  <si>
    <t>Монтаж приборов учета по ИСУ ТУ№68 Цатурян А.А.</t>
  </si>
  <si>
    <t>Монтаж приборов учета по ИСУ ТУ№280 Шатухина О.А.</t>
  </si>
  <si>
    <t>Монтаж приборов учета по ИСУ ТУ№281 Шатухина О.А.</t>
  </si>
  <si>
    <t>Монтаж приборов учета по ИСУ ТУ№282 Шатухина О.А.</t>
  </si>
  <si>
    <t>Монтаж приборов учета по ИСУ ТУ№283 Шатухина О.А.</t>
  </si>
  <si>
    <t>Монтаж приборов учета по ИСУ ТУ№331 Шатухина О.А.</t>
  </si>
  <si>
    <t xml:space="preserve">Монтаж приборов учета по ИСУ ТУ№198 Караогланян В.С. </t>
  </si>
  <si>
    <t xml:space="preserve">Монтаж приборов учета по ИСУ ТУ№197 Караогланян В.С. </t>
  </si>
  <si>
    <t xml:space="preserve">Монтаж приборов учета по ИСУ ТУ№196 Караогланян В.С. </t>
  </si>
  <si>
    <t>Монтаж приборов учета по ИСУ ТУ№291 Караогланян В.С.</t>
  </si>
  <si>
    <t>Монтаж приборов учета по ИСУ ТУ№290 Караогланян В.С.</t>
  </si>
  <si>
    <t>Монтаж приборов учета по ИСУ ТУ№289 Караогланян В.С.</t>
  </si>
  <si>
    <t>Монтаж приборов учета по ИСУ ТУ№288 ИП Караогланян В.С.</t>
  </si>
  <si>
    <t>Монтаж приборов учета по ИСУ ТУ№287 ИП Караогланян В.С.</t>
  </si>
  <si>
    <t>Монтаж приборов учета по ИСУ ТУ№286 ИП Караогланян В.С.</t>
  </si>
  <si>
    <t>Монтаж приборов учета по ИСУ ТУ№311 Казарян В.Р.</t>
  </si>
  <si>
    <t>Монтаж приборов учета по ИСУ ТУ№286 Караогланян В.С.</t>
  </si>
  <si>
    <t>Монтаж приборов учета по ИСУ ТУ№311 ПАО "ВымпелКом"</t>
  </si>
  <si>
    <t>Монтаж приборов учета по ИСУ ТУ№264 Бочкарева Ю.А.</t>
  </si>
  <si>
    <t>Монтаж приборов учета по ИСУ ТУ№306 Джавадов Ш.Д.О</t>
  </si>
  <si>
    <t>Монтаж приборов учета по ИСУ ТУ№140 Арутюнов Э.Л.</t>
  </si>
  <si>
    <t xml:space="preserve">Монтаж приборов учета по ИСУ ТУ№203 Скорякова Е.В. </t>
  </si>
  <si>
    <t xml:space="preserve">Монтаж приборов учета по ИСУ ТУ№99 Караогланян А.А. </t>
  </si>
  <si>
    <t>Монтаж приборов учета по ИСУ ТУ№278 Адлер А.А.</t>
  </si>
  <si>
    <t xml:space="preserve">Монтаж приборов учета по ИСУ ТУ№225  ИП Суков А.С. </t>
  </si>
  <si>
    <t>Монтаж приборов учета по ИСУ ТУ№218 Конорезова Л.В.</t>
  </si>
  <si>
    <t>Монтаж приборов учета по ИСУ ТУ№88 Азнауров Н.С.</t>
  </si>
  <si>
    <t xml:space="preserve">Монтаж приборов учета по ИСУ ТУ№247  ПАО Вымпелком </t>
  </si>
  <si>
    <t>Монтаж приборов учета по ИСУ ТУ№207 Разумный С.Н.</t>
  </si>
  <si>
    <t xml:space="preserve">Монтаж приборов учета по ИСУ ТУ№343  Ибрамхалилов Н.А. </t>
  </si>
  <si>
    <t>Монтаж приборов учета по ИСУ ТУ№274 Медведьев Н.В.</t>
  </si>
  <si>
    <t>Монтаж приборов учета по ИСУ ТУ№303 Шевцова Ю.Ю</t>
  </si>
  <si>
    <t>Монтаж приборов учета по ИСУ ТУ№271 Зелюнка А.И.</t>
  </si>
  <si>
    <t>Монтаж приборов учета по ИСУ ТУ№98 Парамонов Р.М.</t>
  </si>
  <si>
    <t>Монтаж приборов учета по ИСУ ТУ№279  Парамонов Е.М</t>
  </si>
  <si>
    <t xml:space="preserve">Монтаж приборов учета по ИСУ ТУ№336 Цатурян А.С. </t>
  </si>
  <si>
    <t xml:space="preserve">Монтаж приборов учета по ИСУ ТУ№151 Моргунова В.М. </t>
  </si>
  <si>
    <t xml:space="preserve">Монтаж приборов учета по ИСУ ТУ№150 Моргунова В.М. </t>
  </si>
  <si>
    <t xml:space="preserve">Монтаж приборов учета по ИСУ ТУ№327  Казарян В.Р. </t>
  </si>
  <si>
    <t xml:space="preserve">Монтаж приборов учета по ИСУ ТУ№347 Зелюнка С.К. </t>
  </si>
  <si>
    <t xml:space="preserve">Монтаж приборов учета по ИСУ ТУ№369 Зелюнка С.К. </t>
  </si>
  <si>
    <t>Монтаж приборов учета по ИСУ ТУ№50 Караогланян В.С.</t>
  </si>
  <si>
    <t>Монтаж приборов учета по ИСУ ТУ№152 УЖКХ</t>
  </si>
  <si>
    <t>Монтаж приборов учета по ИСУ ТУ№134  ПАО МТС</t>
  </si>
  <si>
    <t>Монтаж приборов учета по ИСУ ТУ№160Б Лебедянцев Ю.Ю</t>
  </si>
  <si>
    <t>Монтаж приборов учета по ИСУ ТУ№41 Южгидроэнергострой</t>
  </si>
  <si>
    <t>Монтаж приборов учета по ИСУ ТУ№38  ООО ГЭС</t>
  </si>
  <si>
    <t>10/0,4</t>
  </si>
  <si>
    <t>6/0,4</t>
  </si>
  <si>
    <t>4.2.1.4.2</t>
  </si>
  <si>
    <r>
      <t xml:space="preserve">Строительство ШСН-125.6 </t>
    </r>
    <r>
      <rPr>
        <sz val="10"/>
        <rFont val="Times New Roman"/>
        <family val="1"/>
        <charset val="204"/>
      </rPr>
      <t>ТУ №15 ИП Юрков В.В.</t>
    </r>
  </si>
  <si>
    <r>
      <t xml:space="preserve">Строительство ШСН-103.12 </t>
    </r>
    <r>
      <rPr>
        <sz val="10"/>
        <rFont val="Times New Roman"/>
        <family val="1"/>
        <charset val="204"/>
      </rPr>
      <t>ТУ №324 ИП Трушин А.И.</t>
    </r>
  </si>
  <si>
    <t>3.5.1.1</t>
  </si>
  <si>
    <t>3.5.3.1</t>
  </si>
  <si>
    <r>
      <t xml:space="preserve">Строительство КЛ-0,4кВ №105.4 
</t>
    </r>
    <r>
      <rPr>
        <sz val="10"/>
        <color rgb="FF000000"/>
        <rFont val="Times New Roman"/>
        <family val="1"/>
        <charset val="204"/>
      </rPr>
      <t>ТУ №142 ООО "ЛОФТ ФАБРИКА"</t>
    </r>
  </si>
  <si>
    <r>
      <t xml:space="preserve">Строительство КЛ-0,4кВ №350.2
 </t>
    </r>
    <r>
      <rPr>
        <sz val="10"/>
        <color rgb="FF000000"/>
        <rFont val="Times New Roman"/>
        <family val="1"/>
        <charset val="204"/>
      </rPr>
      <t>ТУ №238 ООО "Опора России"</t>
    </r>
  </si>
  <si>
    <r>
      <t xml:space="preserve">Строительство КЛ-0,4кВ №291.6 
</t>
    </r>
    <r>
      <rPr>
        <sz val="10"/>
        <color rgb="FF000000"/>
        <rFont val="Times New Roman"/>
        <family val="1"/>
        <charset val="204"/>
      </rPr>
      <t>ТУ №204 Матевосян Г.С.</t>
    </r>
  </si>
  <si>
    <r>
      <t xml:space="preserve">Строительство КЛ-0,4кВ №5.11
</t>
    </r>
    <r>
      <rPr>
        <sz val="10"/>
        <color rgb="FF000000"/>
        <rFont val="Times New Roman"/>
        <family val="1"/>
        <charset val="204"/>
      </rPr>
      <t>ТУ №50 Хвостик К.В.</t>
    </r>
  </si>
  <si>
    <r>
      <t xml:space="preserve">Строительство КЛ-0,4кВ №8.8 
</t>
    </r>
    <r>
      <rPr>
        <sz val="10"/>
        <color rgb="FF000000"/>
        <rFont val="Times New Roman"/>
        <family val="1"/>
        <charset val="204"/>
      </rPr>
      <t>ТУ №384 Пегин О.А.</t>
    </r>
  </si>
  <si>
    <r>
      <t xml:space="preserve">Строительство КЛ-0,4кВ №125.6
</t>
    </r>
    <r>
      <rPr>
        <sz val="10"/>
        <color rgb="FF000000"/>
        <rFont val="Times New Roman"/>
        <family val="1"/>
        <charset val="204"/>
      </rPr>
      <t>ТУ №15 ИП Юрков В.В.</t>
    </r>
  </si>
  <si>
    <r>
      <t xml:space="preserve">Строительство КЛ-0,4кВ №ШСН-52.9.1
</t>
    </r>
    <r>
      <rPr>
        <sz val="10"/>
        <color rgb="FF000000"/>
        <rFont val="Times New Roman"/>
        <family val="1"/>
        <charset val="204"/>
      </rPr>
      <t>ТУ №323, 322</t>
    </r>
    <r>
      <rPr>
        <sz val="12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Лебедянцев Ю.Ю.</t>
    </r>
  </si>
  <si>
    <r>
      <t xml:space="preserve">Строительство КЛ-0,4кВ №103.12
</t>
    </r>
    <r>
      <rPr>
        <sz val="10"/>
        <color rgb="FF000000"/>
        <rFont val="Times New Roman"/>
        <family val="1"/>
        <charset val="204"/>
      </rPr>
      <t xml:space="preserve">ТУ №324  ИП Трушин А.И. </t>
    </r>
  </si>
  <si>
    <r>
      <t xml:space="preserve">Строительство КЛ-0,4кВ №ШСН-13.3.1
</t>
    </r>
    <r>
      <rPr>
        <sz val="10"/>
        <color rgb="FF000000"/>
        <rFont val="Times New Roman"/>
        <family val="1"/>
        <charset val="204"/>
      </rPr>
      <t>ТУ №7 Калинченко С.И.</t>
    </r>
  </si>
  <si>
    <r>
      <t xml:space="preserve">Строительство КЛ-6кВ №РП-18.3
</t>
    </r>
    <r>
      <rPr>
        <sz val="10"/>
        <color rgb="FF000000"/>
        <rFont val="Times New Roman"/>
        <family val="1"/>
        <charset val="204"/>
      </rPr>
      <t>ТУ №79 Тикменов Р.А.</t>
    </r>
  </si>
  <si>
    <t>2.1.2.1.4.2</t>
  </si>
  <si>
    <t>2.1.2.2.2.1</t>
  </si>
  <si>
    <t>2.6.2.1.4.1</t>
  </si>
  <si>
    <t>2.6.2.2.2.1</t>
  </si>
  <si>
    <r>
      <t xml:space="preserve">Строительство ВЛ-0,4кВ №132.19 </t>
    </r>
    <r>
      <rPr>
        <sz val="10"/>
        <color rgb="FF000000"/>
        <rFont val="Times New Roman"/>
        <family val="1"/>
        <charset val="204"/>
      </rPr>
      <t>Герасименко В.П.</t>
    </r>
  </si>
  <si>
    <r>
      <t xml:space="preserve">Строительство ВЛ-0,4кВ №21.12 </t>
    </r>
    <r>
      <rPr>
        <sz val="10"/>
        <color rgb="FF000000"/>
        <rFont val="Times New Roman"/>
        <family val="1"/>
        <charset val="204"/>
      </rPr>
      <t xml:space="preserve">Беда А.Н. </t>
    </r>
  </si>
  <si>
    <r>
      <t xml:space="preserve">Строительство ВЛ-0,4кВ №337.2 </t>
    </r>
    <r>
      <rPr>
        <sz val="10"/>
        <color rgb="FF000000"/>
        <rFont val="Times New Roman"/>
        <family val="1"/>
        <charset val="204"/>
      </rPr>
      <t>Левченко В.В.</t>
    </r>
  </si>
  <si>
    <r>
      <t xml:space="preserve">Строительство ВЛ-0,4кВ №322.1 </t>
    </r>
    <r>
      <rPr>
        <sz val="10"/>
        <color rgb="FF000000"/>
        <rFont val="Times New Roman"/>
        <family val="1"/>
        <charset val="204"/>
      </rPr>
      <t>Бондаренко А.В.</t>
    </r>
  </si>
  <si>
    <r>
      <t xml:space="preserve">Строительство ВЛ-0,4кВ №171.2 </t>
    </r>
    <r>
      <rPr>
        <sz val="10"/>
        <color rgb="FF000000"/>
        <rFont val="Times New Roman"/>
        <family val="1"/>
        <charset val="204"/>
      </rPr>
      <t>Шилова Н.В.</t>
    </r>
  </si>
  <si>
    <r>
      <t xml:space="preserve">Строительство ВЛ-0,4кВ №102.4 </t>
    </r>
    <r>
      <rPr>
        <sz val="10"/>
        <color rgb="FF000000"/>
        <rFont val="Times New Roman"/>
        <family val="1"/>
        <charset val="204"/>
      </rPr>
      <t>Ахметов Р.Р</t>
    </r>
    <r>
      <rPr>
        <sz val="12"/>
        <color rgb="FF000000"/>
        <rFont val="Times New Roman"/>
        <family val="1"/>
        <charset val="204"/>
      </rPr>
      <t>.</t>
    </r>
  </si>
  <si>
    <r>
      <t xml:space="preserve">Строительство ВЛ-0,4кВ №50.8  </t>
    </r>
    <r>
      <rPr>
        <sz val="10"/>
        <color rgb="FF000000"/>
        <rFont val="Times New Roman"/>
        <family val="1"/>
        <charset val="204"/>
      </rPr>
      <t xml:space="preserve">Казарян В.Р. </t>
    </r>
  </si>
  <si>
    <r>
      <t xml:space="preserve">Строительство ВЛ-0,4кВ №210.2 </t>
    </r>
    <r>
      <rPr>
        <sz val="10"/>
        <color rgb="FF000000"/>
        <rFont val="Times New Roman"/>
        <family val="1"/>
        <charset val="204"/>
      </rPr>
      <t>Прокофьев С.В</t>
    </r>
  </si>
  <si>
    <r>
      <t xml:space="preserve">Строительство ВЛ-0,4кВ №309.1 </t>
    </r>
    <r>
      <rPr>
        <sz val="10"/>
        <color rgb="FF000000"/>
        <rFont val="Times New Roman"/>
        <family val="1"/>
        <charset val="204"/>
      </rPr>
      <t>Караогланян В.С.</t>
    </r>
  </si>
  <si>
    <r>
      <t xml:space="preserve">Строительство ВЛ-0,4кВ №333.5 </t>
    </r>
    <r>
      <rPr>
        <sz val="10"/>
        <color rgb="FF000000"/>
        <rFont val="Times New Roman"/>
        <family val="1"/>
        <charset val="204"/>
      </rPr>
      <t>УЖКХ г. Невинномысска</t>
    </r>
  </si>
  <si>
    <r>
      <t xml:space="preserve">Строительство ВЛ-0,4кВ №192.5 </t>
    </r>
    <r>
      <rPr>
        <sz val="10"/>
        <color rgb="FF000000"/>
        <rFont val="Times New Roman"/>
        <family val="1"/>
        <charset val="204"/>
      </rPr>
      <t>Шатухина О.А.</t>
    </r>
  </si>
  <si>
    <r>
      <t xml:space="preserve">Строительство ВЛ-0,4кВ №192.4 </t>
    </r>
    <r>
      <rPr>
        <sz val="10"/>
        <color rgb="FF000000"/>
        <rFont val="Times New Roman"/>
        <family val="1"/>
        <charset val="204"/>
      </rPr>
      <t>Гаджиев З.Г.</t>
    </r>
  </si>
  <si>
    <r>
      <t xml:space="preserve">Строительство ВЛ-0,4кВ №192.4 </t>
    </r>
    <r>
      <rPr>
        <sz val="10"/>
        <color rgb="FF000000"/>
        <rFont val="Times New Roman"/>
        <family val="1"/>
        <charset val="204"/>
      </rPr>
      <t xml:space="preserve">Караогланян А.А. </t>
    </r>
  </si>
  <si>
    <r>
      <t xml:space="preserve">Строительство ВЛ-0,4кВ №ШСН-103.12.1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ИП Трушин А.И. </t>
    </r>
  </si>
  <si>
    <r>
      <t xml:space="preserve">Строительство ВЛ-0,4кВ №46.12.3 </t>
    </r>
    <r>
      <rPr>
        <sz val="10"/>
        <color rgb="FF000000"/>
        <rFont val="Times New Roman"/>
        <family val="1"/>
        <charset val="204"/>
      </rPr>
      <t>ООО "Кавказэлектросервис</t>
    </r>
  </si>
  <si>
    <r>
      <t xml:space="preserve">Строительство ВЛ-0,4кВ №ШСН-63.3.9 </t>
    </r>
    <r>
      <rPr>
        <sz val="10"/>
        <color rgb="FF000000"/>
        <rFont val="Times New Roman"/>
        <family val="1"/>
        <charset val="204"/>
      </rPr>
      <t>Огарышева Н.А.</t>
    </r>
  </si>
  <si>
    <r>
      <t xml:space="preserve">Строительство ВЛ-6кВ №35 Линар </t>
    </r>
    <r>
      <rPr>
        <sz val="10"/>
        <color rgb="FF000000"/>
        <rFont val="Times New Roman"/>
        <family val="1"/>
        <charset val="204"/>
      </rPr>
      <t>УЖКХ г. Невинномысска</t>
    </r>
  </si>
  <si>
    <r>
      <t xml:space="preserve">Строительство ВЛ-0,4кВ №225.4 </t>
    </r>
    <r>
      <rPr>
        <sz val="10"/>
        <color rgb="FF000000"/>
        <rFont val="Times New Roman"/>
        <family val="1"/>
        <charset val="204"/>
      </rPr>
      <t>Филимонова И.А.</t>
    </r>
  </si>
  <si>
    <r>
      <t xml:space="preserve">Строительство ВЛ-0,4кВ №225.4 </t>
    </r>
    <r>
      <rPr>
        <sz val="10"/>
        <color rgb="FF000000"/>
        <rFont val="Times New Roman"/>
        <family val="1"/>
        <charset val="204"/>
      </rPr>
      <t>Пилоян Ю.А.</t>
    </r>
  </si>
  <si>
    <r>
      <t xml:space="preserve">Строительство ВЛ-0,4кВ №РП-5.7  </t>
    </r>
    <r>
      <rPr>
        <sz val="10"/>
        <color rgb="FF000000"/>
        <rFont val="Times New Roman"/>
        <family val="1"/>
        <charset val="204"/>
      </rPr>
      <t>Порохончук Т.С.</t>
    </r>
  </si>
  <si>
    <r>
      <t xml:space="preserve">Строительство ВЛ-0,4кВ №170.2 </t>
    </r>
    <r>
      <rPr>
        <sz val="10"/>
        <color rgb="FF000000"/>
        <rFont val="Times New Roman"/>
        <family val="1"/>
        <charset val="204"/>
      </rPr>
      <t xml:space="preserve"> Егоров В.С.</t>
    </r>
  </si>
  <si>
    <r>
      <t xml:space="preserve">Строительство ВЛ-0,4кВ №162.2  </t>
    </r>
    <r>
      <rPr>
        <sz val="10"/>
        <color rgb="FF000000"/>
        <rFont val="Times New Roman"/>
        <family val="1"/>
        <charset val="204"/>
      </rPr>
      <t>Остапенко В.Г.</t>
    </r>
  </si>
  <si>
    <r>
      <t xml:space="preserve">Строительство ВЛ-0,4кВ №337.1  </t>
    </r>
    <r>
      <rPr>
        <sz val="10"/>
        <color rgb="FF000000"/>
        <rFont val="Times New Roman"/>
        <family val="1"/>
        <charset val="204"/>
      </rPr>
      <t xml:space="preserve">Ременюк Н.В. </t>
    </r>
  </si>
  <si>
    <r>
      <t xml:space="preserve">Строительство ВЛ-0,4кВ №117.4 </t>
    </r>
    <r>
      <rPr>
        <sz val="9"/>
        <color rgb="FF000000"/>
        <rFont val="Times New Roman"/>
        <family val="1"/>
        <charset val="204"/>
      </rPr>
      <t>Киселева О.В.</t>
    </r>
    <r>
      <rPr>
        <sz val="12"/>
        <color rgb="FF000000"/>
        <rFont val="Times New Roman"/>
        <family val="1"/>
        <charset val="204"/>
      </rPr>
      <t xml:space="preserve"> </t>
    </r>
  </si>
  <si>
    <r>
      <t xml:space="preserve">Строительство ВЛ-0,4кВ №206.5 </t>
    </r>
    <r>
      <rPr>
        <sz val="10"/>
        <color rgb="FF000000"/>
        <rFont val="Times New Roman"/>
        <family val="1"/>
        <charset val="204"/>
      </rPr>
      <t>ИП Есаян А.О.</t>
    </r>
  </si>
  <si>
    <r>
      <t xml:space="preserve">Строительство ВЛ-0,4кВ №9-173.4 </t>
    </r>
    <r>
      <rPr>
        <sz val="10"/>
        <color rgb="FF000000"/>
        <rFont val="Times New Roman"/>
        <family val="1"/>
        <charset val="204"/>
      </rPr>
      <t>Колобихин З.А.</t>
    </r>
  </si>
  <si>
    <r>
      <t xml:space="preserve">Строительство ВЛ-0,4кВ №РП-8.14 </t>
    </r>
    <r>
      <rPr>
        <sz val="10"/>
        <color rgb="FF000000"/>
        <rFont val="Times New Roman"/>
        <family val="1"/>
        <charset val="204"/>
      </rPr>
      <t>Шенцов А.В.</t>
    </r>
  </si>
  <si>
    <r>
      <t xml:space="preserve">Строительство ВЛ-0,4кВ №ШСН-52.9.1 </t>
    </r>
    <r>
      <rPr>
        <sz val="10"/>
        <color rgb="FF000000"/>
        <rFont val="Times New Roman"/>
        <family val="1"/>
        <charset val="204"/>
      </rPr>
      <t>Лебедянцев Ю.Ю.</t>
    </r>
  </si>
  <si>
    <r>
      <t xml:space="preserve">Строительство ВЛ-0,4кВ №112.6 ИП </t>
    </r>
    <r>
      <rPr>
        <sz val="10"/>
        <color rgb="FF000000"/>
        <rFont val="Times New Roman"/>
        <family val="1"/>
        <charset val="204"/>
      </rPr>
      <t xml:space="preserve">Морозова Ю.Б. </t>
    </r>
  </si>
  <si>
    <r>
      <t xml:space="preserve">Строительство ВЛ-10кВ №40 Восход-2  </t>
    </r>
    <r>
      <rPr>
        <sz val="10"/>
        <color rgb="FF000000"/>
        <rFont val="Times New Roman"/>
        <family val="1"/>
        <charset val="204"/>
      </rPr>
      <t xml:space="preserve">Ременюк Н.В. </t>
    </r>
  </si>
  <si>
    <r>
      <t xml:space="preserve">Строительство ВЛ-0,4кВ №162.2 </t>
    </r>
    <r>
      <rPr>
        <sz val="10"/>
        <color rgb="FF000000"/>
        <rFont val="Times New Roman"/>
        <family val="1"/>
        <charset val="204"/>
      </rPr>
      <t xml:space="preserve"> Гусейналиева Л.Э</t>
    </r>
  </si>
  <si>
    <r>
      <t xml:space="preserve">Строительство ВЛ-0,4кВ №34.7 </t>
    </r>
    <r>
      <rPr>
        <sz val="10"/>
        <color rgb="FF000000"/>
        <rFont val="Times New Roman"/>
        <family val="1"/>
        <charset val="204"/>
      </rPr>
      <t>Барсуков А.Г.</t>
    </r>
  </si>
  <si>
    <r>
      <t xml:space="preserve">Строительство ВЛ-0,4кВ №170.2 </t>
    </r>
    <r>
      <rPr>
        <sz val="10"/>
        <color rgb="FF000000"/>
        <rFont val="Times New Roman"/>
        <family val="1"/>
        <charset val="204"/>
      </rPr>
      <t>Цатурян А.С.</t>
    </r>
  </si>
  <si>
    <r>
      <t xml:space="preserve">Строительство ВЛ-0,4кВ №322.1 </t>
    </r>
    <r>
      <rPr>
        <sz val="10"/>
        <color rgb="FF000000"/>
        <rFont val="Times New Roman"/>
        <family val="1"/>
        <charset val="204"/>
      </rPr>
      <t xml:space="preserve">Ашурбеков А.А. </t>
    </r>
  </si>
  <si>
    <r>
      <t xml:space="preserve">Строительство ВЛ-0,4кВ №322.2 </t>
    </r>
    <r>
      <rPr>
        <sz val="10"/>
        <color rgb="FF000000"/>
        <rFont val="Times New Roman"/>
        <family val="1"/>
        <charset val="204"/>
      </rPr>
      <t xml:space="preserve">Голубенко А.В. </t>
    </r>
  </si>
  <si>
    <r>
      <t xml:space="preserve">Строительство ВЛ-0,4кВ №270.3 </t>
    </r>
    <r>
      <rPr>
        <sz val="10"/>
        <color rgb="FF000000"/>
        <rFont val="Times New Roman"/>
        <family val="1"/>
        <charset val="204"/>
      </rPr>
      <t>Сырцов А.В.</t>
    </r>
  </si>
  <si>
    <t>1.3.3.4.1.1</t>
  </si>
  <si>
    <t>1.3.4.4.2.1</t>
  </si>
  <si>
    <t>Монтаж приборов учета по ИСУ   Гусейналиева Л.Э</t>
  </si>
  <si>
    <t>Монтаж приборов учета по ИСУ   Егоров В.С.</t>
  </si>
  <si>
    <t>Монтаж приборов учета по ИСУ  Порохончук Т.С.</t>
  </si>
  <si>
    <t xml:space="preserve">Монтаж приборов учета по ИСУ  Казарян В.Р. </t>
  </si>
  <si>
    <t>Монтаж приборов учета по ИСУ  Караогланян В.С.</t>
  </si>
  <si>
    <t xml:space="preserve">Монтаж приборов учета по ИСУ  Ременюк Н.В. </t>
  </si>
  <si>
    <t>Монтаж приборов учета по ИСУ  Пегин О.А.</t>
  </si>
  <si>
    <t>Монтаж приборов учета по ИСУ  Хвостик К.В.</t>
  </si>
  <si>
    <t>Монтаж приборов учета по ИСУ  Герасименко В.П.</t>
  </si>
  <si>
    <t>Монтаж приборов учета по ИСУ  Барсуков А.Г.</t>
  </si>
  <si>
    <t>Монтаж приборов учета по ИСУ  Гочияева Б.В.</t>
  </si>
  <si>
    <t xml:space="preserve">Монтаж приборов учета по ИСУ  ИП Трушин А.И. </t>
  </si>
  <si>
    <t>Монтаж приборов учета по ИСУ  Шатухина О.А.</t>
  </si>
  <si>
    <t xml:space="preserve">Монтаж приборов учета по ИСУ  Караогланян А.А. </t>
  </si>
  <si>
    <t>Монтаж приборов учета по ИСУ  ООО "Шерри"</t>
  </si>
  <si>
    <t>Монтаж приборов учета по ИСУ  ОАО "Спецстрой"</t>
  </si>
  <si>
    <t>Монтаж приборов учета по ИСУ  ИП Ибрамхалилов С.А.</t>
  </si>
  <si>
    <t>Монтаж приборов учета по ИСУ  ИП Караогланян А.А.</t>
  </si>
  <si>
    <t>Монтаж приборов учета по ИСУ  Серобабина Н.А.</t>
  </si>
  <si>
    <t>Монтаж приборов учета по ИСУ  Колобихин З.А.</t>
  </si>
  <si>
    <t xml:space="preserve">Монтаж приборов учета по ИСУ  Голубенко А.В. </t>
  </si>
  <si>
    <t>Монтаж приборов учета по ИСУ  Остапенко В.Г.</t>
  </si>
  <si>
    <t xml:space="preserve">Монтаж приборов учета по ИСУ  Киселева О.В. </t>
  </si>
  <si>
    <t>Монтаж приборов учета по ИСУ  Ахметов Р.Р</t>
  </si>
  <si>
    <t>Монтаж приборов учета по ИСУ  Бондаренко А.В.</t>
  </si>
  <si>
    <t>Монтаж приборов учета по ИСУ  Гаджиев З.Г.</t>
  </si>
  <si>
    <t xml:space="preserve">Монтаж приборов учета по ИСУ  Ашурбеков А.А. </t>
  </si>
  <si>
    <t>Монтаж приборов учета по ИСУ  Пилоян Ю.А.</t>
  </si>
  <si>
    <t>Монтаж приборов учета по ИСУ  Калоеров В.Г.</t>
  </si>
  <si>
    <t>Монтаж приборов учета по ИСУ  ИП Зубанева М.Ю</t>
  </si>
  <si>
    <t>Монтаж приборов учета по ИСУ  ИП Есаян А.О.</t>
  </si>
  <si>
    <t xml:space="preserve">Монтаж приборов учета по ИСУ  Беда А.Н. </t>
  </si>
  <si>
    <t>Монтаж приборов учета по ИСУ  Левченко В.В.</t>
  </si>
  <si>
    <t>Монтаж приборов учета по ИСУ  Сырцов А.В.</t>
  </si>
  <si>
    <t>Монтаж приборов учета по ИСУ  Прокофьев С.В</t>
  </si>
  <si>
    <t>Монтаж приборов учета по ИСУ  Филимонова И.А.</t>
  </si>
  <si>
    <t>Монтаж приборов учета по ИСУ  Тимофеев Д.В.</t>
  </si>
  <si>
    <t>Монтаж приборов учета по ИСУ  ООО "Кавказэлектросервис"</t>
  </si>
  <si>
    <t>Монтаж приборов учета по ИСУ  Лебедянцев Ю.Ю.</t>
  </si>
  <si>
    <t>Монтаж приборов учета по ИСУ  Огарышева Н.А.</t>
  </si>
  <si>
    <t xml:space="preserve">Монтаж приборов учета по ИСУ  ИП Морозова Ю.Б. </t>
  </si>
  <si>
    <t>Монтаж приборов учета по ИСУ  Цатурян А.С.</t>
  </si>
  <si>
    <t>Монтаж приборов учета по ИСУ  УЖКХ адм. г. Невинномысска</t>
  </si>
  <si>
    <t>Монтаж приборов учета по ИСУ  Шенцов А.В.</t>
  </si>
  <si>
    <t>Монтаж приборов учета по ИСУ  ООО "ЛОФТ ФАБРИКА"</t>
  </si>
  <si>
    <t>Монтаж приборов учета по ИСУ  ИП Ковалева Н.И.</t>
  </si>
  <si>
    <t>Монтаж приборов учета по ИСУ  Арефьев Т.П.</t>
  </si>
  <si>
    <t>Монтаж приборов учета по ИСУ  Тикменов Р.А.</t>
  </si>
  <si>
    <t>Монтаж приборов учета по ИСУ  ООО СТК Арсенал Степаненко А.В.</t>
  </si>
  <si>
    <t>Монтаж приборов учета по ИСУ  ООО "Опора России"</t>
  </si>
  <si>
    <r>
      <t xml:space="preserve">Строительство КТП-351. КМПн-кв-400/6/0,4. 250кВА
 </t>
    </r>
    <r>
      <rPr>
        <sz val="10"/>
        <color rgb="FF000000"/>
        <rFont val="Times New Roman"/>
        <family val="1"/>
        <charset val="204"/>
      </rPr>
      <t>ТУ №79 Тикменов Р.А. ТУ № 78 ООО СТК Арсенал Степаненко А.В.</t>
    </r>
  </si>
  <si>
    <r>
      <t xml:space="preserve">Строительство КТП-333 КТПНп 400/6/0,4. 400кВА
</t>
    </r>
    <r>
      <rPr>
        <sz val="10"/>
        <color rgb="FF000000"/>
        <rFont val="Times New Roman"/>
        <family val="1"/>
        <charset val="204"/>
      </rPr>
      <t>ТУ №236 УЖКХ г. Невинномысска</t>
    </r>
  </si>
  <si>
    <r>
      <t xml:space="preserve">Строительство КТП-337  КТПНт-Вв-250/10/0,4. 100кВА
</t>
    </r>
    <r>
      <rPr>
        <sz val="10"/>
        <color rgb="FF000000"/>
        <rFont val="Times New Roman"/>
        <family val="1"/>
        <charset val="204"/>
      </rPr>
      <t>ТУ №4 Ременюк Н.В.</t>
    </r>
  </si>
  <si>
    <t>3.5.2.1</t>
  </si>
  <si>
    <t>С.В. Сигидиненко</t>
  </si>
  <si>
    <t>Монтаж приборов учета 2Б-1 ИСУ РП-10 ф-1 ул. Маяковского 7-1</t>
  </si>
  <si>
    <t>Монтаж приборов учета 3 ИСУ ВЛ-0,4кВ №273.1 СНТ Приборист №615</t>
  </si>
  <si>
    <t>Монтаж приборов учета 5 ИСУ ВЛ-0,4кВ №22.1 ул. Скачковая 36</t>
  </si>
  <si>
    <t>Монтаж приборов учета 5 ИСУ КТП-347 ф-3 Б. Мира 1В</t>
  </si>
  <si>
    <t>Монтаж приборов учета 6 ИСУ ВЛ-0,4кВ №146.12 ул. Подгорного 1Б</t>
  </si>
  <si>
    <t>Монтаж приборов учета 7 ИСУ ВЛ-0,4кВ №154.3 ул. Фрунзе 138</t>
  </si>
  <si>
    <t>Монтаж приборов учета 8 ИСУ ВЛ-0,4кВ №69.4 ул. Луначарского 162 А</t>
  </si>
  <si>
    <t>Монтаж приборов учета 9 ИСУ ВЛ-0,4кВ №54.4 ул. Линейная 24А</t>
  </si>
  <si>
    <t>Монтаж приборов учета 10 ИСУ РП-8 ШУ-0,4кВ ул. Гагарина 1Б</t>
  </si>
  <si>
    <t>Монтаж приборов учета 11 ИСУ ВЛ-0,4кВ №281.5 ул. Гагарина 59</t>
  </si>
  <si>
    <t>Монтаж приборов учета 12 ИСУ ВЛ-0,4кВ №77.4 ул. Краснопартизанская 3А</t>
  </si>
  <si>
    <t>Монтаж приборов учета 14 ИСУ ВЛ-0,4кВ №50.3 ул. Торговая 12Б</t>
  </si>
  <si>
    <t>Монтаж приборов учета 15 ИСУ ВЛ-0,4кВ №180.7 ул.Циглера 37</t>
  </si>
  <si>
    <t>Монтаж приборов учета 15 ИСУ КТП-199 ООО ОптТоргСтрой</t>
  </si>
  <si>
    <t>Монтаж приборов учета 17 ИСУ ВЛ-0,4кВ №294.3 ул. Комсомольская 43 кв.2</t>
  </si>
  <si>
    <t>Монтаж приборов учета 23-106Б ИСУ ВЛ-0,4кВ №173.11 ул. Водопроводная 362А</t>
  </si>
  <si>
    <t>Монтаж приборов учета 28 ИСУ ВЛ-0,4кВ №192.6 ул. Магистральная 33</t>
  </si>
  <si>
    <t>Монтаж приборов учета 29 ИСУ ВЛ-0,4кВ №192.6 ул. Магистральная 33 А</t>
  </si>
  <si>
    <t>Монтаж приборов учета 30 ИСУ ВЛ-0,4кВ №192.6 ул. Магистральная 33 Б</t>
  </si>
  <si>
    <t>Монтаж приборов учета 31 ИСУ ВЛ-0,4кВ №192.6 ул. Магистральная 33 В</t>
  </si>
  <si>
    <t>Монтаж приборов учета 32 ИСУ ВЛ-0,4кВ №192.6 ул. Магистральная 33 Г</t>
  </si>
  <si>
    <t>Монтаж приборов учета 32 ИСУ ВЛ-0,4кВ №225.4 СНТ Приборист 31</t>
  </si>
  <si>
    <t>Монтаж приборов учета 33 ИСУ ВЛ-0,4кВ №192.6 ул. Магистральная 33 Д</t>
  </si>
  <si>
    <t>Монтаж приборов учета 40 ИСУ ВЛ-0,4кВ №225.4 СНТ Приборист №229</t>
  </si>
  <si>
    <t>Монтаж приборов учета 45 ИСУ ВЛ-0,4кВ №80.8 ул. Лазурная 49А</t>
  </si>
  <si>
    <t>Монтаж приборов учета 52 ИСУ ВЛ-0,4кВ №337.2 СНТ Восход-2 №1457</t>
  </si>
  <si>
    <t>Монтаж приборов учета 53 ИСУ ВЛ-0,4кВ №337.1 СНТ Восход-2 №1496</t>
  </si>
  <si>
    <t>Монтаж приборов учета 54 ИСУ ВЛ-0,4кВ №52.7 ул. Кирова 70</t>
  </si>
  <si>
    <t>Монтаж приборов учета 58 ИСУ ВЛ-0,4кВ №234.3 ул. Междуреченская 40 А</t>
  </si>
  <si>
    <t>Монтаж приборов учета 59 ИСУ ВЛ-0,4кВ №30.2 ул. Первомайская 21</t>
  </si>
  <si>
    <t>Монтаж приборов учета 60 ИСУ ВЛ-0,4кВ №330.2 ул. Круговая 45В</t>
  </si>
  <si>
    <t>Монтаж приборов учета 61 ИСУ ВЛ-0,4кВ №31.2 ул. Рабочая 51</t>
  </si>
  <si>
    <t>Монтаж приборов учета 65 ИСУ ТП-155 ф-14 ул. Гагарина 56-1</t>
  </si>
  <si>
    <t>Монтаж приборов учета 66Б ИСУ ВРУ-0,4кВ Гагарина 66 пом.35</t>
  </si>
  <si>
    <t>Монтаж приборов учета 68Б ИСУ ВРУ-1-2 гр. №5, Гагарина 17 пом.4</t>
  </si>
  <si>
    <t>Монтаж приборов учета 69 ИСУ ВЛ-0,4кВ №8.8 лицей №6 гараж 87</t>
  </si>
  <si>
    <t>Монтаж приборов учета 70 ИСУ ВЛ-0,4кВ №ШСН-52-9.1 Зои Космодемьянской 13</t>
  </si>
  <si>
    <t>Монтаж приборов учета 74 ИСУ ВЛ-0,4кВ №192.6 ул. Магистральная 31А</t>
  </si>
  <si>
    <t>Монтаж приборов учета 75 ИСУ ВЛ-0,4кВ №192.6 ул. Магистральная 31Б</t>
  </si>
  <si>
    <t>Монтаж приборов учета 76 ИСУ ВЛ-0,4кВ №192.6 ул. Магистральная 31В</t>
  </si>
  <si>
    <t>Монтаж приборов учета 77 ИСУ ВЛ-0,4кВ №192.6 ул. Магистральная 31Г</t>
  </si>
  <si>
    <t>Монтаж приборов учета 78 ИСУ ВЛ-0,4кВ №192.6 ул. Магистральная 31Д</t>
  </si>
  <si>
    <t>Монтаж приборов учета 79 ИСУ ВЛ-0,4кВ №192.6 ул. Магистральная 31Е</t>
  </si>
  <si>
    <t>Монтаж приборов учета 80 ИСУ ВЛ-0,4кВ №158.1 ул. Степная 43А</t>
  </si>
  <si>
    <t>Монтаж приборов учета 80Б ИСУ КТП-191 Ф-3 ул. Матросова 92А</t>
  </si>
  <si>
    <t>Монтаж приборов учета 82 ИСУ ВЛ-0,4кВ №182.11 ул. Комарова 219</t>
  </si>
  <si>
    <t>Монтаж приборов учета 84 ИСУ ВЛ-0,4кВ №154.3 ул. Фрунзе 142</t>
  </si>
  <si>
    <t>Монтаж приборов учета 85 ИСУ ВЛ-0,4кВ №92.2 ул. Фурманова 34</t>
  </si>
  <si>
    <t>Монтаж приборов учета 86 ИСУ ВЛ-0,4кВ №68.5 ул. Постышева 51</t>
  </si>
  <si>
    <t>Монтаж приборов учета 88 ИСУ ВЛ-0,4кВ №83.3 ул. Некрасова 20</t>
  </si>
  <si>
    <t>Монтаж приборов учета 88 ИСУ ВЛ-0,4кВ №337.1 СНТ Восход-2 №574</t>
  </si>
  <si>
    <t>Монтаж приборов учета 89 ИСУ ВЛ-0,4кВ №66.7 ул. Луначарского 120</t>
  </si>
  <si>
    <t>Монтаж приборов учета 91 ИСУ ВЛ-0,4кВ №337.1 СНТ Восход-2 д.750</t>
  </si>
  <si>
    <t>Монтаж приборов учета 93 ИСУ ВЛ-0,4кВ №337.1 СНТ Восход-2 №1493</t>
  </si>
  <si>
    <t>Монтаж приборов учета 94 ИСУ ВЛ-0,4кВ №162.2 ул. Свободы 36</t>
  </si>
  <si>
    <t>Монтаж приборов учета 95 ИСУ ВЛ-0,4кВ №214.15 пер. Пионерский 23</t>
  </si>
  <si>
    <t>Монтаж приборов учета 96 ИСУ ВЛ-0,4кВ №146.1 ул. Победы 22</t>
  </si>
  <si>
    <t>Монтаж приборов учета 97 ИСУ ВЛ-0,4кВ №214.15 пер. Пионерский 25</t>
  </si>
  <si>
    <t>Монтаж приборов учета 99 ИСУ ВЛ-0,4кВ №89.3 ул. Водопроводная 320</t>
  </si>
  <si>
    <t>Монтаж приборов учета 102 ИСУ ВЛ-0,4кВ №339.3 СНТ Водник-2 №67</t>
  </si>
  <si>
    <t>Монтаж приборов учета 103 ИСУ ВЛ-0,4кВ №339.3 СНТ Водник-2 №79</t>
  </si>
  <si>
    <t>Монтаж приборов учета 104 ИСУ ВЛ-0,4кВ №67.1 ул. Невинномысская 128</t>
  </si>
  <si>
    <t>Монтаж приборов учета 104 ИСУ ВЛ-0,4кВ №337.1,СНТ «Восход-2» №1494</t>
  </si>
  <si>
    <t>Монтаж приборов учета 105 ИСУ ВЛ-0,4кВ №180.11 ул. Лаара 53</t>
  </si>
  <si>
    <t>Монтаж приборов учета 107 ИСУ ВЛ-0,4кВ №47.3 ул.Рабочая 13А</t>
  </si>
  <si>
    <t>Монтаж приборов учета 109 ИСУ ВЛ-0,4кВ №61.3 пер.Киевский 14</t>
  </si>
  <si>
    <t>Монтаж приборов учета 109 ИСУ ШСН-5.9 гр.5 Б. Мира</t>
  </si>
  <si>
    <t>Монтаж приборов учета 110 ИСУ ВЛ-0,4кВ №337.1 СНТ Восход-2 №1390</t>
  </si>
  <si>
    <t>Монтаж приборов учета 111 ИСУ ВЛ-0,4кВ №337.1 СНТ Восход-2 №1466</t>
  </si>
  <si>
    <t>Монтаж приборов учета 113 ИСУ ВЛ-0,4кВ №337.1 СНТ Восход-2 №778</t>
  </si>
  <si>
    <t>Монтаж приборов учета 114 ИСУ ВЛ-0,4кВ №138.1 ул. Луговая 36А</t>
  </si>
  <si>
    <t>Монтаж приборов учета 115 ИСУ ВЛ-0,4кВ №294.6 ул. Комсомольская 47А</t>
  </si>
  <si>
    <t>Монтаж приборов учета 118 ИСУ ВЛ-0,4кВ №194.6 ул. Раздольная 15</t>
  </si>
  <si>
    <t>Монтаж приборов учета 119 ИСУ ВЛ-0,4кВ №194.6 ул. Раздольная 15 А</t>
  </si>
  <si>
    <t>Монтаж приборов учета 119 ИСУ ВЛ-0,4кВ №236.4 ул. Кубанская 14</t>
  </si>
  <si>
    <t>Монтаж приборов учета 120 ИСУ ВЛ-0,4кВ №51.4 пер. Братский 7</t>
  </si>
  <si>
    <t>Монтаж приборов учета 121 ИСУ ВЛ-0,4кВ №102.1 ул. Плеханова 19В</t>
  </si>
  <si>
    <t>Монтаж приборов учета 122 ИСУ ВЛ-0,4кВ №274.2 ул. Русская 83</t>
  </si>
  <si>
    <t>Монтаж приборов учета 125 ИСУ ВЛ-0,4кВ №161.2 ул.Азовская 44</t>
  </si>
  <si>
    <t>Монтаж приборов учета 127 ИСУ ВЛ-0,4кВ №322.1 ул. Апанасенко 81</t>
  </si>
  <si>
    <t>Монтаж приборов учета 129 ИСУ ВЛ-0,4кВ №14.5 ул. Фрунзе 182</t>
  </si>
  <si>
    <t>Монтаж приборов учета 129 ИСУ ТП-40, Ф-13, Калинина 62</t>
  </si>
  <si>
    <t>Монтаж приборов учета 131 ИСУ ВЛ-0,4кВ №31.2 ул. Рабочая 57А</t>
  </si>
  <si>
    <t>Монтаж приборов учета 131 ИСУ КТП-264 ф-2 Б.Мира 23 гараж 121</t>
  </si>
  <si>
    <t>Монтаж приборов учета 133 ИСУ ШСН-103-3.4 Гагарина-Революц</t>
  </si>
  <si>
    <t>Монтаж приборов учета 135 ИСУ ВЛ-0,4кВ СНТ Восход-2 №723</t>
  </si>
  <si>
    <t>Монтаж приборов учета 137 ИСУ ВЛ-0,4кВ №120.6 ул. Дружбы 104А</t>
  </si>
  <si>
    <t>Монтаж приборов учета 139 ИСУ ТП-103 ф-5 ул. Приборостроительная 3У-2</t>
  </si>
  <si>
    <t>Монтаж приборов учета 144 ИСУ ВЛ-0,4кВ №16.8 пер. Крымский 3А</t>
  </si>
  <si>
    <t>Монтаж приборов учета 148 ИСУ ВЛ-0,4кВ №337.2 СНТ Восход-2 №1470</t>
  </si>
  <si>
    <t>Монтаж приборов учета 149 ИСУ ВЛ-0,4кВ №112.6 ул. Заречная 2</t>
  </si>
  <si>
    <t>Монтаж приборов учета 150 ИСУ РП-8 ф-12 фаза Б ул. Гагарина 2</t>
  </si>
  <si>
    <t>Монтаж приборов учета 151 ИСУ ВЛ-0,4кВ №46.12.3 ул.Линейная 58</t>
  </si>
  <si>
    <t>Монтаж приборов учета 151 ИСУ РП-8 ф-12 фаза А ул. Гагарина 3А</t>
  </si>
  <si>
    <t>Монтаж приборов учета 153Б ИСУ ВЛ-0,4кВ №189.2 ул. Отрадная 23</t>
  </si>
  <si>
    <t>Монтаж приборов учета 157 ИСУ КТП-347 ф-4 Б.Мира 24</t>
  </si>
  <si>
    <t>Монтаж приборов учета 160 ИСУ ТП-100 Ф-14 ВРУ ½ ул. Садовая 8 ИП Лавренов</t>
  </si>
  <si>
    <t>Монтаж приборов учета 161Б ИСУ РП-13 яч.17 мк-н Гвардейский</t>
  </si>
  <si>
    <t>Монтаж приборов учета 162 ИСУ ВЛ-0,4кВ №34.7 ул. Подгорного 5А</t>
  </si>
  <si>
    <t>Монтаж приборов учета 162 ИСУ ВЛ-0,4кВ №336.1 СНТ Восход-2 №659</t>
  </si>
  <si>
    <t>Монтаж приборов учета 164Б ИСУ ТП-141 ф-3, ф-14 Гагарина 55 вход Х</t>
  </si>
  <si>
    <t>Монтаж приборов учета 168 ИСУ ВЛ-0,4кВ №181.6 ул. Луначарского 149</t>
  </si>
  <si>
    <t>Монтаж приборов учета 175 ИСУ ВЛ-0,4кВ №21.6 ул. Школьная 33</t>
  </si>
  <si>
    <t>Монтаж приборов учета 175-1(2) ИСУ ТП-1 ф7-ф-8 пер. Клубный 11</t>
  </si>
  <si>
    <t>Монтаж приборов учета 176 ИСУ ВЛ-0,4кВ №322.1 СНТ Текстильщик №378</t>
  </si>
  <si>
    <t>Монтаж приборов учета 176 ИСУ ВЛ-0,4кВ №373.1 пер. Виноградный 8А</t>
  </si>
  <si>
    <t>Монтаж приборов учета 177 ИСУ ВЛ-0,4кВ №322.1 СНТ Текстильщик 380</t>
  </si>
  <si>
    <t>Монтаж приборов учета 177 ИСУ ВЛ-0,4кВ №337.1 СНТ Восход-2 №709</t>
  </si>
  <si>
    <t>Монтаж приборов учета 178Б ИСУ ПКУ ВЛ-0,4кВ №359 ул. Монтажная 10А</t>
  </si>
  <si>
    <t>Монтаж приборов учета 179 ИСУ ВЛ-0,4кВ №23.4 ул. Суворова 22</t>
  </si>
  <si>
    <t>Монтаж приборов учета 180 ИСУ ВЛ-0,4кВ №126.1 ул. Западная 61А</t>
  </si>
  <si>
    <t>Монтаж приборов учета 181 ИСУ ВЛ-0,4кВ №54.4 ул. Безвыходная 9</t>
  </si>
  <si>
    <t>Монтаж приборов учета 182 ИСУ ВЛ-0,4кВ №162.2 ул. Свободы 47</t>
  </si>
  <si>
    <t>Монтаж приборов учета 183 ИСУ ВЛ-0,4кВ №236.4 ул. Мельничный 23</t>
  </si>
  <si>
    <t>Монтаж приборов учета 183 ИСУ ВЛ-0,4кВ №363.1 СНТ Квант №893</t>
  </si>
  <si>
    <t>Монтаж приборов учета 184 ИСУ ВЛ-0,4кВ №63.3 ул. Линейная 99</t>
  </si>
  <si>
    <t>Монтаж приборов учета 184 ИСУ ВЛ-0,4кВ №294.1 ул. Комсомольская 45А</t>
  </si>
  <si>
    <t>Монтаж приборов учета 185 ИСУ ВЛ-0,4кВ №34.7 пер.Подгорного 5А-1</t>
  </si>
  <si>
    <t>Монтаж приборов учета 185 ИСУ ВЛ-0,4кВ №34.7 Пугачева д.1 кв.2</t>
  </si>
  <si>
    <t>Монтаж приборов учета 186 ИСУ ВЛ-0,4кВ №220.4 ул. Круговая 1,1</t>
  </si>
  <si>
    <t>Монтаж приборов учета 187 ИСУ ВЛ-0,4кВ №182.1 ул. Зорге 194</t>
  </si>
  <si>
    <t>Монтаж приборов учета 194 ИСУ ВЛ-0,4кВ №22.5 ул. Калинина 164А</t>
  </si>
  <si>
    <t>Монтаж приборов учета 197 ИСУ ЩСН-44-11.5 ул. Гагарина 34 место1</t>
  </si>
  <si>
    <t>Монтаж приборов учета 199 ИСУ ВЛ-0,4кВ №337.1 СНТ Восход-2 №711</t>
  </si>
  <si>
    <t>Монтаж приборов учета 200 ИСУ ТП-8 ф-3 ул.Павлова д.2 пом.1</t>
  </si>
  <si>
    <t>Монтаж приборов учета 201 ИСУ ВЛ-0,4кВ №232.5 ул. Менделеева 31А</t>
  </si>
  <si>
    <t>Монтаж приборов учета 203 ИСУ ВЛ-0,4кВ №180.12 ул. Невинномысская 26</t>
  </si>
  <si>
    <t>Монтаж приборов учета 205 ИСУ ВЛ-0,4кВ №336.1 СНТ Восход-2 №635</t>
  </si>
  <si>
    <t>Монтаж приборов учета 206 ИСУ ВЛ-0,4кВ №171.2 ул. Русская 80</t>
  </si>
  <si>
    <t>Монтаж приборов учета 206 ИСУ ВЛ-0,4кВ №274.2 ул. Пограничная 69</t>
  </si>
  <si>
    <t>Монтаж приборов учета 207 ИСУ ВЛ-0,4кВ №322.1 СНТ Текстильщик 228</t>
  </si>
  <si>
    <t>Монтаж приборов учета 208 ИСУ ВЛ-0,4кВ №274.3 ул. Раздольная 85А</t>
  </si>
  <si>
    <t>Монтаж приборов учета 210 ИСУ ВЛ-0,4кВ №330.2 ул. Круговая 43В</t>
  </si>
  <si>
    <t>Монтаж приборов учета 214 ИСУ ВЛ-0,4кВ №336.1 СНТ Восход-2 №637</t>
  </si>
  <si>
    <t>Монтаж приборов учета 215 ИСУ ВЛ-0,4кВ №24.2 ул. Чапаева 51</t>
  </si>
  <si>
    <t>Монтаж приборов учета 217 ИСУ КТП-358 ф-3 Б.Мира 27</t>
  </si>
  <si>
    <t>Монтаж приборов учета 218 ИСУ ВЛ-0,4кВ ул. Покровская 11</t>
  </si>
  <si>
    <t>Монтаж приборов учета 219 ИСУ ВЛ-0,4кВ №363.2 СНТ Квант №127</t>
  </si>
  <si>
    <t>Монтаж приборов учета 221 ИСУ ВЛ-0,4кВ №181.6 ул. Дружбы 83</t>
  </si>
  <si>
    <t>Монтаж приборов учета 221 ИСУ ВЛ-0,4кВ СНТ Восход-2 №716</t>
  </si>
  <si>
    <t>Монтаж приборов учета 222 ИСУ ВЛ-0,4кВ №84.3 ул. Социалистическая 105</t>
  </si>
  <si>
    <t>Монтаж приборов учета 223 ИСУ ВРУ Революционная 18</t>
  </si>
  <si>
    <t>Монтаж приборов учета 224 ИСУ ВЛ-0,4кВ №14.5 ул. Фрунзе 81</t>
  </si>
  <si>
    <t>Монтаж приборов учета 225 ИСУ ВЛ-0,4кВ №101.13 ул. Гагарина 50А гараж 17</t>
  </si>
  <si>
    <t>Монтаж приборов учета 228 ИСУ ТП-100 Ф-14 ВРУ ½ ул. Садовая 8 ИП Загребельная</t>
  </si>
  <si>
    <t>Монтаж приборов учета 229 ИСУ ВЛ-0,4кВ №14.6 ул. Курчатова 14</t>
  </si>
  <si>
    <t>Монтаж приборов учета 232 ИСУ ВЛ-0,4кВ №322.2 СНТ Текстильщик 208</t>
  </si>
  <si>
    <t>Монтаж приборов учета 238 ИСУ ВЛ-0,4кВ №180.11 ул. Лаара 55</t>
  </si>
  <si>
    <t>Монтаж приборов учета 240 ИСУ ВЛ-0,4кВ №ШСН-52-9 гр.1 Зои Космодемьянской 5</t>
  </si>
  <si>
    <t>Монтаж приборов учета 246 ИСУ ВЛ-0,4кВ №322.2 СНТ Текстильщик №269</t>
  </si>
  <si>
    <t>Монтаж приборов учета 247 ИСУ ВЛ-0,4кВ №223.1 СНТ Квант №941</t>
  </si>
  <si>
    <t>Монтаж приборов учета 248 ИСУ ВЛ-0,4кВ №337.2, СНТ Восход-2 №715</t>
  </si>
  <si>
    <t>Монтаж приборов учета 251 ИСУ ВЛ-0,4кВ №322.1, СНТ Текстильщик №24</t>
  </si>
  <si>
    <t>Монтаж приборов учета 253 ИСУ ВЛ-0,4кВ №93.3 пер. Виноградный</t>
  </si>
  <si>
    <t>Монтаж приборов учета 254 ИСУ ВЛ-0,4кВ №69.5 ул. Малиновского 119А</t>
  </si>
  <si>
    <t>Монтаж приборов учета 255 ИСУ ВЛ-0,4кВ №274.1 ул. Западная 65Б</t>
  </si>
  <si>
    <t>Монтаж приборов учета 257 ИСУ ВЛ-0,4кВ №67.1 ул. Невинномысская 138</t>
  </si>
  <si>
    <t>Монтаж приборов учета 259 ИСУ ВЛ-0,4кВ №261.5, 3 Интернационала 128Д</t>
  </si>
  <si>
    <t>Монтаж приборов учета 267-Э ИСУ ВЛ-0,4кВ №194.3 ул.Русская 60</t>
  </si>
  <si>
    <t>Монтаж приборов учета 269 ИСУ ВЛ-0,4кВ №63.1 ул. Гагарина 31</t>
  </si>
  <si>
    <t>Монтаж приборов учета 273 ИСУ ВЛ-0,4кВ №47.3 ул. Полевая 1</t>
  </si>
  <si>
    <t>Монтаж приборов учета 275 ИСУ ВЛ-0,4кВ №158.9 ул. Степная 12</t>
  </si>
  <si>
    <t>Монтаж приборов учета 279 ИСУ ВЛ-0,4кВ №РП-5.13 ул. Тельмана 11</t>
  </si>
  <si>
    <t>Монтаж приборов учета 282 ИСУ ВЛ-0,4кВ №169.2 ул. Кооперативная 70А</t>
  </si>
  <si>
    <t>Монтаж приборов учета 283 ИСУ ВЛ-0,4кВ №66.2 ул. Луначарского 101</t>
  </si>
  <si>
    <t>Монтаж приборов учета 288 ИСУ ВЛ-0,4кВ №322.2 СНТ Текстильщик №216</t>
  </si>
  <si>
    <t>Монтаж приборов учета 289 ИСУ ШРУ ШСН-264-2.14 гр.4.,ГК Крепость, №78</t>
  </si>
  <si>
    <t>Монтаж приборов учета 290 ИСУ ВЛ-0,4кВ №162.4 ул. Донская 46</t>
  </si>
  <si>
    <t>Монтаж приборов учета 291 ИСУ ВЛ-0,4кВ №236.4 пер. Мельничный 1</t>
  </si>
  <si>
    <t>Монтаж приборов учета 295 ИСУ ВЛ-0,4кВ №161.3 ул. Пятигорская 4</t>
  </si>
  <si>
    <t>Монтаж приборов учета 297 ИСУ ВЛ-0,4кВ №223.1 СНТ Квант №136</t>
  </si>
  <si>
    <t>Монтаж приборов учета 305 ИСУ ВЛ-0,4кВ №223.1 СНТ Квант №791</t>
  </si>
  <si>
    <t>Монтаж приборов учета 309 ИСУ ВЛ-0,4кВ №173.5 СНТ Приборист №890</t>
  </si>
  <si>
    <t>Монтаж приборов учета 310 ИСУ ВЛ-0,4кВ №336.1 СНТ Восход-2 №568</t>
  </si>
  <si>
    <t>Монтаж приборов учета 311 ИСУ ВЛ-0,4кВ №173.5 СНТ Восход-2 №658</t>
  </si>
  <si>
    <t>Монтаж приборов учета 312 ИСУ ВЛ-0,4кВ №225.4 СНТ Приборист №14</t>
  </si>
  <si>
    <t>Монтаж приборов учета 327 ИСУ ВЛ-0,4кВ №323.1 СНТ Зеленый мыс №266</t>
  </si>
  <si>
    <t>Монтаж приборов учета 334 ИСУ ВЛ-0,4кВ №225.4, СНТ Приборист №26</t>
  </si>
  <si>
    <t>Монтаж приборов учета 336 ИСУ ВЛ-0,4кВ №322.1 СНТ Текстильщик №21</t>
  </si>
  <si>
    <t>Монтаж приборов учета 339 ИСУ ВЛ-0,4кВ №337.1 СНТ «Восход-2» №1388</t>
  </si>
  <si>
    <t>Монтаж приборов учета 342 ИСУ ВЛ-0,4кВ №223.1 СНТ Квант №723</t>
  </si>
  <si>
    <t>Монтаж приборов учета 350 ИСУ ВЛ-0,4кВ №309.6 пер. Глухой 11</t>
  </si>
  <si>
    <t>Монтаж приборов учета 356 ИСУ ВЛ-0,4кВ №98.13 ул. 3 Интернационала 9А</t>
  </si>
  <si>
    <t>Монтаж приборов учета 358 ИСУ ВЛ-0,4кВ №139.3 СНТ Южный уч.46</t>
  </si>
  <si>
    <t>Монтаж приборов учета 365 ИСУ ВЛ-0,4кВ №56.3 ш.Пятигорское 1-1</t>
  </si>
  <si>
    <t>Монтаж приборов учета 367Б ИСУ РП-8 ф-5, ф-16 ул. Гагарина 1Е</t>
  </si>
  <si>
    <t>Монтаж приборов учета 368 ИСУ ВЛ-0,4кВ №32.5 ул. 30 лет Победы 7</t>
  </si>
  <si>
    <t>Монтаж приборов учета 376 ИСУ ШСН-45-2-2 гр.5 Гагарина Б.Мира</t>
  </si>
  <si>
    <t>Монтаж приборов учета 380 ИСУ ВЛ-0,4кВ №1.7 пер. Клубный 15-15</t>
  </si>
  <si>
    <t>Монтаж приборов учета 380Б ИСУ КТП-211 ф-1, ф-20 ул. Энгельса 79</t>
  </si>
  <si>
    <t>Монтаж приборов учета 383 ИСУ ВЛ-0,4кВ №189.2 ул. Раздольная 41</t>
  </si>
  <si>
    <t>Монтаж приборов учета 387 ИСУ ВЛ-0,4кВ №234.1 ул. Междуреченская 45Б</t>
  </si>
  <si>
    <t>Монтаж приборов учета 390 ИСУ ВЛ-0,4кВ №339.4 СНТ Водник-2 №41</t>
  </si>
  <si>
    <t>Монтаж приборов учета 391 ИСУ ВЛ-0,4кВ №84.2 ул. Социалистическая 64</t>
  </si>
  <si>
    <t>Монтаж приборов учета 392 ИСУ ВЛ-0,4кВ №180.4, ул. Линейная (табло)</t>
  </si>
  <si>
    <t>Монтаж приборов учета 393 ИСУ ВЛ-0,4кВ №54.4, ул. Линейная (табло)</t>
  </si>
  <si>
    <t>Монтаж приборов учета 394 ИСУ ВЛ-0,4кВ №192.2 ул. А. Платова 7</t>
  </si>
  <si>
    <t>Монтаж приборов учета 399 ИСУ ВЛ-0,4кВ №52.2, О.Кошевого 10</t>
  </si>
  <si>
    <t>Монтаж приборов учета 399-Э ИСУ ВЛ-0,4кВ №162.2 ул. Свободы 22</t>
  </si>
  <si>
    <t>Монтаж приборов учета 401 ИСУ ВЛ-0,4кВ №227.16, Парковая 1А</t>
  </si>
  <si>
    <t>Монтаж приборов учета 402 ИСУ ВЛ-0,4кВ №194.3 ул. Русская 22</t>
  </si>
  <si>
    <t>Монтаж приборов учета 403 ИСУ ВЛ-0,4кВ №39.3 пер. Химиков 21А</t>
  </si>
  <si>
    <t>Монтаж приборов учета 409Б ИСУ ВРУ ул. Калинина 175</t>
  </si>
  <si>
    <t>Монтаж приборов учета 418 ИСУ ВЛ-0,4кВ №339.2 СНТ Водник-2 №42</t>
  </si>
  <si>
    <t>Монтаж приборов учета 425 ИСУ ВЛ-0,4кВ №337.1 СНТ Восход №549</t>
  </si>
  <si>
    <t>Монтаж приборов учета 429 ИСУ ВЛ-0,4кВ №92.2 ул. Щорса 6</t>
  </si>
  <si>
    <t>Монтаж приборов учета 433 ИСУ ВЛ-0,4кВ №369.1 ул. Азовская 43</t>
  </si>
  <si>
    <t>Монтаж приборов учета 434 ИСУ ВЛ-0,4кВ №369.1 ул. Азовская 45</t>
  </si>
  <si>
    <t>Монтаж приборов учета 437 ИСУ ВЛ-0,4кВ №369.1 ул. Пятигорская 46А</t>
  </si>
  <si>
    <t>Монтаж приборов учета 438 ИСУ ВЛ-0,4кВ №32.1 ул. Садовая 149</t>
  </si>
  <si>
    <t>Монтаж приборов учета 439 ИСУ ВЛ-0,4кВ №67.4 пер. Братский 14</t>
  </si>
  <si>
    <t>Монтаж приборов учета 466 ИСУ ВЛ-0,4кВ №369.1 ул. Азовская 46</t>
  </si>
  <si>
    <t>Монтаж приборов учета 467 ИСУ ВЛ-0,4кВ №339.2 СНТ Водник-2 №64</t>
  </si>
  <si>
    <t>Монтаж приборов учета 468 ИСУ ТП-8-352 ф-15 ул. Низяева 35А</t>
  </si>
  <si>
    <t>Монтаж приборов учета 476 ИСУ ТП-333 ф-7 ул. Монтажная 6-1</t>
  </si>
  <si>
    <t>Монтаж приборов учета 477 ИСУ ВЛ-0,4кВ №339.4 СНТ Водник-2 №5</t>
  </si>
  <si>
    <t>Монтаж приборов учета 483 ИСУ ВЛ-0,4кВ №339.2 СНТ Водник-2 №56</t>
  </si>
  <si>
    <t>Монтаж приборов учета 493 ИСУ ВЛ-0,4кВ №339.2 СНТ Водник-2 №29</t>
  </si>
  <si>
    <t>Монтаж приборов учета 498 ИСУ ВЛ-0,4кВ №220.4 ул. Круговая 16</t>
  </si>
  <si>
    <t>Монтаж приборов учета 501 ИСУ ВЛ-0,4кВ №339.2 СНТ Водник-2 №54</t>
  </si>
  <si>
    <t>Монтаж приборов учета 502 ИСУ ВЛ-0,4кВ №337.3 СНТ Восход-2 б-н</t>
  </si>
  <si>
    <t>Монтаж приборов учета 503 ИСУ ВРУ пер. Крымский 8 кв.43</t>
  </si>
  <si>
    <t>Монтаж приборов учета 504 ИСУ ВЛ-0,4кВ №369.1 ул. Азовская 45А</t>
  </si>
  <si>
    <t>Монтаж приборов учета 509 ИСУ ВЛ-0,4кВ №339.2 СНТ Водник-2 №52</t>
  </si>
  <si>
    <t>Монтаж приборов учета 519 ИСУ ЩВУ-0,22 пер. Клубный 19</t>
  </si>
  <si>
    <t>Монтаж приборов учета ИСУ РП-10ф-3 ул. Маяковского 28</t>
  </si>
  <si>
    <t>Монтаж приборов учета ИСУ ТП-7 ул. Гагарина 22</t>
  </si>
  <si>
    <t>Монтаж приборов учета ИСУ ТП-77 ул. Краснопартизанская 1</t>
  </si>
  <si>
    <t>Монтаж приборов учета ИСУ ТП-81 ул. Бульвар мира 41</t>
  </si>
  <si>
    <t>Монтаж приборов учета ИСУ ТП-142 ул. Гагарина 57А</t>
  </si>
  <si>
    <t>Монтаж приборов учета ИСУ ТП-281 ул. Ленина 57</t>
  </si>
  <si>
    <t>Монтаж приборов учета ИСУ ТП-298 ф-11 ул. Бульвар мира 27Б</t>
  </si>
  <si>
    <t>ВЛ-0,4кВ № 225.4 СНТ Приборист № 154</t>
  </si>
  <si>
    <t>ВЛ-0,4кВ №16.8 от ТП-16 ф-8 до пер. Крымский 3А</t>
  </si>
  <si>
    <t>ВЛ-0,4кВ №50.4 ул. Школьная 59</t>
  </si>
  <si>
    <t>ВЛ-0,4кВ №53.5 ул. Ленина 76</t>
  </si>
  <si>
    <t>ВЛ-0,4кВ №56.3 шоссе Пятигорское 1-1</t>
  </si>
  <si>
    <t>ВЛ-0,4кВ №68.5 ул. Постышева 51</t>
  </si>
  <si>
    <t>ВЛ-0,4кВ №77.4 ул. Краснопартизанская 3А (эл. табло)</t>
  </si>
  <si>
    <t>ВЛ-0,4кВ №80.8 отпайка до ул.Лазурная 49А</t>
  </si>
  <si>
    <t>ВЛ-0,4кВ №98.13 ул. 3 Интернационала 9А</t>
  </si>
  <si>
    <t>ВЛ-0,4кВ №102.1 ул.Плеханова 19В</t>
  </si>
  <si>
    <t>ВЛ-0,4кВ №121.5 Нестеровская 39</t>
  </si>
  <si>
    <t>ВЛ-0,4кВ №146.13 отпайка ул. Подгорного 9Б</t>
  </si>
  <si>
    <t>ВЛ-0,4кВ №161.2 ул. Азовская 45,45А,46 ул. Пятигорская 46,46А</t>
  </si>
  <si>
    <t>ВЛ-0,4кВ №171.2 ул.Русская 83</t>
  </si>
  <si>
    <t>ВЛ-0,4кВ №192.6 участок Магистральная 33,33А-33Д</t>
  </si>
  <si>
    <t>ВЛ-0,4кВ №220.4 ул. Круговая 1-1</t>
  </si>
  <si>
    <t>ВЛ-0,4кВ №225.4 участок СНТ Приборист 229</t>
  </si>
  <si>
    <t>ВЛ-0,4кВ №273.1 СНТ Приборист 615</t>
  </si>
  <si>
    <t>ВЛ-0,4кВ №281.5 ул. Гагарина 59 (эл. табло)</t>
  </si>
  <si>
    <t>ВЛ-0,4кВ №323.3 СНТ Зеленый Мыс №208</t>
  </si>
  <si>
    <t>ВЛ-0,4кВ №333.2 ул. Монтажная 17</t>
  </si>
  <si>
    <t>ВЛ-0,4кВ №337.1 СНТ Восход №723</t>
  </si>
  <si>
    <t>ВЛ-0,4кВ №337.1 СНТ Восход-2 №574</t>
  </si>
  <si>
    <t>ВЛ-0,4кВ №337.1 СНТ Восход-2 №1390</t>
  </si>
  <si>
    <t>ВЛ-0,4кВ №337.1 СНТ Восход-2 №1496</t>
  </si>
  <si>
    <t>ВЛ-0,4кВ №339.2 Водник-2 №44,60</t>
  </si>
  <si>
    <t>ВЛ-0,4кВ №339.3 Водник-2 №90</t>
  </si>
  <si>
    <t>ВЛ-0,4кВ №339.4 Водник-2 №17,18,22,20,32</t>
  </si>
  <si>
    <t>ВЛ-0,4кВ №РП-8.7 ул. Гагарина 1Б (эл. табло)</t>
  </si>
  <si>
    <t>ВЛ-10кВ №42 СНТ Квант</t>
  </si>
  <si>
    <t>КЛ-0,4кВ №40.13 до ВРУ-0,4кВ ул.Калинина 62</t>
  </si>
  <si>
    <t>КЛ-0,4кВ №98.10 Партизанская 11Б</t>
  </si>
  <si>
    <t>КЛ-0,4кВ №358 ПАО Ставропольэнергосбыт</t>
  </si>
  <si>
    <t>КЛ-10кВ №363.1 выход на оп. ВЛ-10кВ №42 СНТ Квант</t>
  </si>
  <si>
    <t>КЛ-10кВ №РП-13.17 на оп. ВЛ-10кВ Гвардейский</t>
  </si>
  <si>
    <t>Монтаж приборов учета 39 ИСУ ВЛ-0,4кВ №34.7 ул. Подгорного 5А/4</t>
  </si>
  <si>
    <t>Монтаж приборов учета 96 ИСУ ВЛ-0,4кВ №146.13 ул.Тургенева 2Б</t>
  </si>
  <si>
    <t>Монтаж приборов учета 135 ИСУ ВЛ-0,4кВ №123.3 ул.Орджоникидзе 82</t>
  </si>
  <si>
    <t>Монтаж приборов учета 174 ИСУ ВЛ-0,4кВ №373.1 пер. Виноградный 12</t>
  </si>
  <si>
    <t>Монтаж приборов учета 406 ИСУ ВЛ-0,4кВ №РП-5.7, Гагарина, 197/2</t>
  </si>
  <si>
    <t>Монтаж приборов учета 470 ИСУ ЩВУ-0,4кВ ул. Приборостроительная 6</t>
  </si>
  <si>
    <t>Монтаж приборов учета 102 ИСУ ВЛ-0,4кВ №225.4 СНТ Приборист 154</t>
  </si>
  <si>
    <t>Монтаж приборов учета 478 ИСУ ВЛ-0,4кВ №339.3 СНТ Водник-2 №70</t>
  </si>
  <si>
    <t>Монтаж приборов учета 146 ИСУ КТП-358 ф-2 Б.Мира 27Г ПАО «Ставропольэнергосбыт».</t>
  </si>
  <si>
    <t>Монтаж приборов учета 226 ИСУ КТП-331 ф-4 Б.Мира 27Д Мойкар</t>
  </si>
  <si>
    <t>Монтаж приборов учета 146-Э ИСУ ВЛ-0,4кВ №274.2 Русская 106</t>
  </si>
  <si>
    <t>Монтаж приборов учета 118 ИСУ ТП-63 ф-17 у.Северная 13А</t>
  </si>
  <si>
    <t>Монтаж приборов учета 4 ИСУ ВЛ-0,4кВ №23.4 ул. Суворова 37</t>
  </si>
  <si>
    <t>Монтаж приборов учета 227 ИСУ в ШСН-101-13 ул. Гагарина 50А гараж18</t>
  </si>
  <si>
    <t>Монтаж приборов учета 147 ИСУ в ТП-96 ф-9 Электробустер</t>
  </si>
  <si>
    <t>Монтаж приборов учета 192 ИСУ ВЛ-0,4кВ №50.4 ул. Школьная 59</t>
  </si>
  <si>
    <t>Монтаж приборов учета 21 ИСУ ВЛ-0,4кВ №53.5 ул. Ленина 76</t>
  </si>
  <si>
    <t>Монтаж приборов учета 241 ИСУ к КТП-298 ф-9 ООО СтройСити</t>
  </si>
  <si>
    <t>Монтаж приборов учета ИСУ ТП-228.5 ул. Энгельса 99 Александрия</t>
  </si>
  <si>
    <t>7.2.3</t>
  </si>
  <si>
    <t>Расходы на строительство введенных в эксплуатацию объектов электросетевого хозяйства для целей технологического присоединения АО "НЭСК" за 2022-2024гг.</t>
  </si>
  <si>
    <t>КЛ-0,4кВ №249.2 Апанасенко 16 ТУ 73Б (212квт)</t>
  </si>
  <si>
    <t>КЛ-0,4кВ №249.1 Апанасенко 16 ТУ 73Б(212квт)</t>
  </si>
  <si>
    <t>КЛ-6кВ №164.6 от КТП-164.6 до КТП-358.1 Ставропольэнергосбыт</t>
  </si>
  <si>
    <t>ВЛ-0,4кВ №228.5 до ВРУ ул.Энгельса 99 ТУ178Б(60квт)</t>
  </si>
  <si>
    <t>КЛ-0,4кВ №228.5 выход на оп. ВЛ-0,4кВ №228.5 ТУ178Б(60квт)</t>
  </si>
  <si>
    <r>
      <t xml:space="preserve">ВЛ-0,4кВ №336.2 </t>
    </r>
    <r>
      <rPr>
        <sz val="10"/>
        <color rgb="FF000000"/>
        <rFont val="Times New Roman"/>
        <family val="1"/>
        <charset val="204"/>
      </rPr>
      <t>СНТ Восход-2 №637, 635, 568, СНТ Приборист №890</t>
    </r>
  </si>
  <si>
    <r>
      <t xml:space="preserve">ВЛ-0,4кВ №337.1 </t>
    </r>
    <r>
      <rPr>
        <sz val="10"/>
        <color rgb="FF000000"/>
        <rFont val="Times New Roman"/>
        <family val="1"/>
        <charset val="204"/>
      </rPr>
      <t>СНТ Восход-2 №600,709,711</t>
    </r>
  </si>
  <si>
    <r>
      <t xml:space="preserve">ВЛ-0,4кВ №337.3 </t>
    </r>
    <r>
      <rPr>
        <sz val="10"/>
        <color rgb="FF000000"/>
        <rFont val="Times New Roman"/>
        <family val="1"/>
        <charset val="204"/>
      </rPr>
      <t>СНТ Восход-2 №1470,1457</t>
    </r>
  </si>
  <si>
    <t>ВЛ-0,4кВ №77.8 до ул.Партизанская 11 ту 136</t>
  </si>
  <si>
    <r>
      <t xml:space="preserve">ВЛ-0,4кВ №336.3 </t>
    </r>
    <r>
      <rPr>
        <sz val="10"/>
        <color rgb="FF000000"/>
        <rFont val="Times New Roman"/>
        <family val="1"/>
        <charset val="204"/>
      </rPr>
      <t>СНТ Восход-2 №680,659,658</t>
    </r>
  </si>
  <si>
    <t>КЛ-0,4 №264.1 до ШСН-264-1,4 Амур</t>
  </si>
  <si>
    <t>КЛ-0,4 №264.4 до ШСН-264-1,4 Амур</t>
  </si>
  <si>
    <t>ШСН-264-1,4 Амур</t>
  </si>
  <si>
    <t>КЛ-10кВ №249.2 в КЛ-10кВ №248.2 Апанасенко 16</t>
  </si>
  <si>
    <t>КЛ-10кВ №249.1 в КЛ-10кВ №76.2 Апанасенко 16</t>
  </si>
  <si>
    <t>ШСН-РП-10-3 Маяковского 28</t>
  </si>
  <si>
    <t>КЛ-0,4кВ №РП-10.3 до ШСН-РП-10-3 Маяковского 28</t>
  </si>
  <si>
    <t>ВЛ-6кВ №46 Екатериновское шоссе 2 ООО МСЦ ту189Б</t>
  </si>
  <si>
    <r>
      <t xml:space="preserve">ВЛ-6кВ от ВЛ-6кВ Линар оп.18 до оп.18.1 </t>
    </r>
    <r>
      <rPr>
        <sz val="10"/>
        <color rgb="FF000000"/>
        <rFont val="Times New Roman"/>
        <family val="1"/>
        <charset val="204"/>
      </rPr>
      <t>(Монтажная 10А 178Б)</t>
    </r>
  </si>
  <si>
    <t>КЛ-6кВ №РП-17.9 выход на оп ВЛ-6кВ №46 ООО МСЦ</t>
  </si>
  <si>
    <t>1.3.1.4.1.1.2</t>
  </si>
  <si>
    <t>1.3.1.4.2.1.2</t>
  </si>
  <si>
    <t>2.1.2.1.4.1</t>
  </si>
  <si>
    <t>КЛ-0,4 №264.1 до ШСН-264-1,4 Амур гнб</t>
  </si>
  <si>
    <t>КЛ-0,4 №264.4 до ШСН-264-1,4 Амур гнб</t>
  </si>
  <si>
    <t>КЛ-0,4кВ №40.13 до ВРУ-0,4кВ ул.Калинина 62 гнб</t>
  </si>
  <si>
    <t>КЛ-0,4кВ №228.5 выход на оп. ВЛ-0,4кВ №228.5 ТУ178Б(60квт)гнб</t>
  </si>
  <si>
    <t>КЛ-0,4кВ №358 ПАО Ставропольэнергосбыт гнб</t>
  </si>
  <si>
    <t>КЛ-0,4кВ №358.2 ул. Бульвар Мира 27Г Волкова</t>
  </si>
  <si>
    <t>КЛ-0,4кВ №358.2 ул. Бульвар Мира 27Г Волкова гнб</t>
  </si>
  <si>
    <t>КЛ-0,4кВ №358.3 Бульвар Мира 27 Бондаренко</t>
  </si>
  <si>
    <t>КЛ-0,4кВ №358.3 Бульвар Мира 27 Бондаренко гнб</t>
  </si>
  <si>
    <t>КЛ-6кВ №164.6 от КТП-164.6 до КТП-358.1 Ставропольэнергосбыт гнб</t>
  </si>
  <si>
    <t>2.6.2.2.3.1</t>
  </si>
  <si>
    <t>КЛ-6кВ №РП-17.9 выход на оп ВЛ-6кВ №46 ООО МСЦ гнб</t>
  </si>
  <si>
    <t>КЛ-10кВ №249.1 в КЛ-10кВ №76.2 Апанасенко 16гнб</t>
  </si>
  <si>
    <t>КЛ-10кВ №249.2 в КЛ-10кВ №248.2 Апанасенко 16 гнб</t>
  </si>
  <si>
    <t>КЛ-10кВ №РП-13.17 на оп. ВЛ-10кВ Гвардейский гнб</t>
  </si>
  <si>
    <r>
      <t>КТП-358 КТПНп-квк-400/6/0,4 1тр 400кВА (</t>
    </r>
    <r>
      <rPr>
        <sz val="10"/>
        <color rgb="FF000000"/>
        <rFont val="Times New Roman"/>
        <family val="1"/>
        <charset val="204"/>
      </rPr>
      <t>Б Мира 27Г Волкова</t>
    </r>
    <r>
      <rPr>
        <sz val="12"/>
        <color rgb="FF000000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Бондаренко)</t>
    </r>
  </si>
  <si>
    <r>
      <t>КТП-249 2КТПНПН-КК/кв-630/10/0,4 2тр 250кВА (</t>
    </r>
    <r>
      <rPr>
        <sz val="10"/>
        <color rgb="FF000000"/>
        <rFont val="Times New Roman"/>
        <family val="1"/>
        <charset val="204"/>
      </rPr>
      <t>ООО Капстрой Апанасенко 16А)</t>
    </r>
  </si>
  <si>
    <r>
      <t>КТП-363 КТПНт-ввк-250/10/0,4 1тр 160кВА (</t>
    </r>
    <r>
      <rPr>
        <sz val="10"/>
        <color rgb="FF000000"/>
        <rFont val="Times New Roman"/>
        <family val="1"/>
        <charset val="204"/>
      </rPr>
      <t>СНТ Квант)</t>
    </r>
  </si>
  <si>
    <t>4.2.2.4.2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</si>
</sst>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р.&quot;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9"/>
        <bgColor rgb="FF000000"/>
      </patternFill>
    </fill>
    <fill>
      <patternFill patternType="solid">
        <fgColor theme="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3">
    <xf numFmtId="0" fontId="0" fillId="0" borderId="0" xfId="0"/>
    <xf numFmtId="0" fontId="2" fillId="2" borderId="0" xfId="1" applyFont="1" applyFill="1" applyAlignment="1">
      <alignment vertical="center" wrapText="1"/>
    </xf>
    <xf numFmtId="4" fontId="2" fillId="2" borderId="0" xfId="1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49" fontId="2" fillId="2" borderId="0" xfId="1" applyNumberFormat="1" applyFont="1" applyFill="1" applyAlignment="1">
      <alignment horizontal="center" vertical="center" wrapText="1"/>
    </xf>
    <xf numFmtId="4" fontId="3" fillId="3" borderId="0" xfId="1" applyNumberFormat="1" applyFont="1" applyFill="1" applyAlignment="1">
      <alignment horizontal="center" vertical="center" wrapText="1"/>
    </xf>
    <xf numFmtId="0" fontId="3" fillId="3" borderId="0" xfId="1" applyFont="1" applyFill="1" applyAlignment="1">
      <alignment vertical="center" wrapText="1"/>
    </xf>
    <xf numFmtId="0" fontId="3" fillId="3" borderId="0" xfId="1" applyFont="1" applyFill="1" applyAlignment="1">
      <alignment horizontal="center" vertical="center" wrapText="1"/>
    </xf>
    <xf numFmtId="0" fontId="3" fillId="3" borderId="0" xfId="1" applyFont="1" applyFill="1" applyAlignment="1">
      <alignment horizontal="left" vertical="center" wrapText="1"/>
    </xf>
    <xf numFmtId="49" fontId="3" fillId="3" borderId="0" xfId="1" applyNumberFormat="1" applyFont="1" applyFill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left" vertical="center" wrapText="1"/>
    </xf>
    <xf numFmtId="2" fontId="2" fillId="2" borderId="0" xfId="1" applyNumberFormat="1" applyFont="1" applyFill="1" applyAlignment="1">
      <alignment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vertical="center" wrapText="1"/>
    </xf>
    <xf numFmtId="49" fontId="3" fillId="3" borderId="5" xfId="1" applyNumberFormat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4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5" fillId="3" borderId="6" xfId="1" applyFont="1" applyFill="1" applyBorder="1" applyAlignment="1">
      <alignment horizontal="left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2" fontId="3" fillId="3" borderId="1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4" fontId="2" fillId="2" borderId="0" xfId="1" applyNumberFormat="1" applyFont="1" applyFill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2" fillId="4" borderId="0" xfId="1" applyFont="1" applyFill="1" applyAlignment="1">
      <alignment vertical="center" wrapText="1"/>
    </xf>
    <xf numFmtId="0" fontId="3" fillId="4" borderId="0" xfId="1" applyFont="1" applyFill="1" applyAlignment="1">
      <alignment horizontal="center" vertical="center" wrapText="1"/>
    </xf>
    <xf numFmtId="0" fontId="2" fillId="4" borderId="0" xfId="1" applyFont="1" applyFill="1" applyAlignment="1">
      <alignment vertical="center"/>
    </xf>
    <xf numFmtId="0" fontId="3" fillId="6" borderId="0" xfId="1" applyFont="1" applyFill="1" applyAlignment="1">
      <alignment vertical="center" wrapText="1"/>
    </xf>
    <xf numFmtId="164" fontId="9" fillId="6" borderId="0" xfId="1" applyNumberFormat="1" applyFont="1" applyFill="1" applyAlignment="1">
      <alignment horizontal="center" vertical="center" wrapText="1"/>
    </xf>
    <xf numFmtId="4" fontId="3" fillId="6" borderId="1" xfId="1" applyNumberFormat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3" fillId="6" borderId="6" xfId="1" applyFont="1" applyFill="1" applyBorder="1" applyAlignment="1">
      <alignment horizontal="left"/>
    </xf>
    <xf numFmtId="49" fontId="3" fillId="6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6" borderId="7" xfId="1" applyFont="1" applyFill="1" applyBorder="1" applyAlignment="1">
      <alignment vertical="center" wrapText="1"/>
    </xf>
    <xf numFmtId="164" fontId="9" fillId="6" borderId="1" xfId="1" applyNumberFormat="1" applyFont="1" applyFill="1" applyBorder="1" applyAlignment="1">
      <alignment horizontal="center" vertical="center" wrapText="1"/>
    </xf>
    <xf numFmtId="0" fontId="10" fillId="6" borderId="5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4" fontId="7" fillId="0" borderId="1" xfId="1" applyNumberFormat="1" applyFont="1" applyBorder="1" applyAlignment="1">
      <alignment horizontal="center" wrapText="1"/>
    </xf>
    <xf numFmtId="4" fontId="3" fillId="0" borderId="6" xfId="1" applyNumberFormat="1" applyFont="1" applyBorder="1" applyAlignment="1">
      <alignment horizontal="center" vertical="center" wrapText="1"/>
    </xf>
    <xf numFmtId="0" fontId="10" fillId="6" borderId="1" xfId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0" xfId="1" applyNumberFormat="1" applyFont="1" applyFill="1" applyAlignment="1">
      <alignment vertical="center" wrapText="1"/>
    </xf>
    <xf numFmtId="0" fontId="7" fillId="6" borderId="0" xfId="1" applyFont="1" applyFill="1" applyAlignment="1">
      <alignment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 wrapText="1"/>
    </xf>
    <xf numFmtId="49" fontId="7" fillId="6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right" vertical="center" wrapText="1"/>
    </xf>
    <xf numFmtId="0" fontId="3" fillId="0" borderId="1" xfId="1" applyFont="1" applyBorder="1" applyAlignment="1">
      <alignment horizontal="left"/>
    </xf>
    <xf numFmtId="0" fontId="3" fillId="0" borderId="6" xfId="1" applyFont="1" applyBorder="1" applyAlignment="1">
      <alignment horizontal="left"/>
    </xf>
    <xf numFmtId="49" fontId="3" fillId="0" borderId="1" xfId="1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4" fontId="3" fillId="0" borderId="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2" fontId="3" fillId="3" borderId="12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2" fontId="3" fillId="6" borderId="1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" fontId="3" fillId="0" borderId="16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7" fillId="0" borderId="1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vertical="center" wrapText="1"/>
    </xf>
    <xf numFmtId="0" fontId="7" fillId="0" borderId="5" xfId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4" fontId="7" fillId="0" borderId="11" xfId="2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2" fillId="0" borderId="11" xfId="2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4" fontId="7" fillId="0" borderId="20" xfId="1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vertical="center" wrapText="1"/>
    </xf>
    <xf numFmtId="4" fontId="2" fillId="0" borderId="0" xfId="1" applyNumberFormat="1" applyFont="1" applyAlignment="1">
      <alignment horizontal="center" vertical="center" wrapText="1"/>
    </xf>
    <xf numFmtId="4" fontId="4" fillId="2" borderId="0" xfId="1" applyNumberFormat="1" applyFont="1" applyFill="1" applyAlignment="1">
      <alignment horizontal="center" vertical="center" wrapText="1"/>
    </xf>
    <xf numFmtId="4" fontId="7" fillId="2" borderId="0" xfId="1" applyNumberFormat="1" applyFont="1" applyFill="1" applyAlignment="1">
      <alignment horizontal="center" wrapText="1"/>
    </xf>
    <xf numFmtId="4" fontId="7" fillId="2" borderId="0" xfId="1" applyNumberFormat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 wrapText="1"/>
    </xf>
    <xf numFmtId="4" fontId="7" fillId="0" borderId="4" xfId="1" applyNumberFormat="1" applyFont="1" applyBorder="1" applyAlignment="1">
      <alignment horizontal="center" wrapText="1"/>
    </xf>
    <xf numFmtId="4" fontId="3" fillId="0" borderId="0" xfId="1" applyNumberFormat="1" applyFont="1" applyAlignment="1">
      <alignment horizontal="center" vertical="center" wrapText="1"/>
    </xf>
    <xf numFmtId="4" fontId="7" fillId="0" borderId="0" xfId="1" applyNumberFormat="1" applyFont="1" applyAlignment="1">
      <alignment horizontal="center" wrapText="1"/>
    </xf>
    <xf numFmtId="4" fontId="7" fillId="2" borderId="4" xfId="1" applyNumberFormat="1" applyFont="1" applyFill="1" applyBorder="1" applyAlignment="1">
      <alignment horizontal="center" wrapText="1"/>
    </xf>
    <xf numFmtId="4" fontId="3" fillId="6" borderId="0" xfId="1" applyNumberFormat="1" applyFont="1" applyFill="1" applyAlignment="1">
      <alignment horizontal="center" vertical="center" wrapText="1"/>
    </xf>
    <xf numFmtId="4" fontId="7" fillId="0" borderId="0" xfId="1" applyNumberFormat="1" applyFont="1" applyAlignment="1">
      <alignment horizontal="center" vertical="center" wrapText="1"/>
    </xf>
    <xf numFmtId="2" fontId="7" fillId="0" borderId="0" xfId="1" applyNumberFormat="1" applyFont="1" applyAlignment="1">
      <alignment horizontal="center" vertical="center" wrapText="1"/>
    </xf>
    <xf numFmtId="2" fontId="3" fillId="6" borderId="0" xfId="0" applyNumberFormat="1" applyFont="1" applyFill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7" borderId="0" xfId="1" applyNumberFormat="1" applyFont="1" applyFill="1" applyAlignment="1">
      <alignment horizontal="center" vertical="center" wrapText="1"/>
    </xf>
    <xf numFmtId="2" fontId="7" fillId="8" borderId="0" xfId="1" applyNumberFormat="1" applyFont="1" applyFill="1" applyAlignment="1">
      <alignment horizontal="center" vertical="center" wrapText="1"/>
    </xf>
    <xf numFmtId="1" fontId="3" fillId="0" borderId="18" xfId="0" applyNumberFormat="1" applyFont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" fontId="3" fillId="7" borderId="0" xfId="0" applyNumberFormat="1" applyFont="1" applyFill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6" borderId="9" xfId="1" applyFont="1" applyFill="1" applyBorder="1" applyAlignment="1">
      <alignment horizontal="center" vertical="center" wrapText="1"/>
    </xf>
    <xf numFmtId="0" fontId="3" fillId="6" borderId="22" xfId="1" applyFont="1" applyFill="1" applyBorder="1" applyAlignment="1">
      <alignment vertical="center" wrapText="1"/>
    </xf>
    <xf numFmtId="0" fontId="3" fillId="9" borderId="23" xfId="1" applyFont="1" applyFill="1" applyBorder="1" applyAlignment="1">
      <alignment vertical="center" wrapText="1"/>
    </xf>
    <xf numFmtId="0" fontId="2" fillId="10" borderId="24" xfId="1" applyFont="1" applyFill="1" applyBorder="1" applyAlignment="1">
      <alignment vertical="center" wrapText="1"/>
    </xf>
    <xf numFmtId="4" fontId="2" fillId="10" borderId="24" xfId="1" applyNumberFormat="1" applyFont="1" applyFill="1" applyBorder="1" applyAlignment="1">
      <alignment vertical="center" wrapText="1"/>
    </xf>
    <xf numFmtId="0" fontId="2" fillId="10" borderId="25" xfId="1" applyFont="1" applyFill="1" applyBorder="1" applyAlignment="1">
      <alignment vertical="center" wrapText="1"/>
    </xf>
    <xf numFmtId="0" fontId="2" fillId="10" borderId="26" xfId="1" applyFont="1" applyFill="1" applyBorder="1" applyAlignment="1">
      <alignment vertical="center" wrapText="1"/>
    </xf>
    <xf numFmtId="0" fontId="3" fillId="6" borderId="26" xfId="1" applyFont="1" applyFill="1" applyBorder="1" applyAlignment="1">
      <alignment vertical="center" wrapText="1"/>
    </xf>
    <xf numFmtId="0" fontId="2" fillId="2" borderId="24" xfId="1" applyFont="1" applyFill="1" applyBorder="1" applyAlignment="1">
      <alignment vertical="center" wrapText="1"/>
    </xf>
    <xf numFmtId="4" fontId="2" fillId="2" borderId="24" xfId="1" applyNumberFormat="1" applyFont="1" applyFill="1" applyBorder="1" applyAlignment="1">
      <alignment vertical="center" wrapText="1"/>
    </xf>
    <xf numFmtId="0" fontId="2" fillId="2" borderId="25" xfId="1" applyFont="1" applyFill="1" applyBorder="1" applyAlignment="1">
      <alignment vertical="center" wrapText="1"/>
    </xf>
    <xf numFmtId="0" fontId="5" fillId="2" borderId="27" xfId="1" applyFont="1" applyFill="1" applyBorder="1" applyAlignment="1">
      <alignment vertical="center" wrapText="1"/>
    </xf>
    <xf numFmtId="0" fontId="2" fillId="2" borderId="28" xfId="1" applyFont="1" applyFill="1" applyBorder="1" applyAlignment="1">
      <alignment vertical="center" wrapText="1"/>
    </xf>
    <xf numFmtId="0" fontId="2" fillId="2" borderId="29" xfId="1" applyFont="1" applyFill="1" applyBorder="1" applyAlignment="1">
      <alignment vertical="center" wrapText="1"/>
    </xf>
    <xf numFmtId="4" fontId="3" fillId="2" borderId="30" xfId="1" applyNumberFormat="1" applyFont="1" applyFill="1" applyBorder="1" applyAlignment="1">
      <alignment vertical="center" wrapText="1"/>
    </xf>
    <xf numFmtId="0" fontId="2" fillId="2" borderId="31" xfId="1" applyFont="1" applyFill="1" applyBorder="1" applyAlignment="1">
      <alignment vertical="center" wrapText="1"/>
    </xf>
    <xf numFmtId="4" fontId="3" fillId="2" borderId="32" xfId="1" applyNumberFormat="1" applyFont="1" applyFill="1" applyBorder="1" applyAlignment="1">
      <alignment vertical="center" wrapText="1"/>
    </xf>
    <xf numFmtId="0" fontId="2" fillId="2" borderId="33" xfId="1" applyFont="1" applyFill="1" applyBorder="1" applyAlignment="1">
      <alignment vertical="center" wrapText="1"/>
    </xf>
    <xf numFmtId="0" fontId="2" fillId="2" borderId="34" xfId="1" applyFont="1" applyFill="1" applyBorder="1" applyAlignment="1">
      <alignment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3" fillId="4" borderId="26" xfId="1" applyFont="1" applyFill="1" applyBorder="1" applyAlignment="1">
      <alignment horizontal="center" vertical="center" wrapText="1"/>
    </xf>
    <xf numFmtId="0" fontId="2" fillId="4" borderId="24" xfId="1" applyFont="1" applyFill="1" applyBorder="1" applyAlignment="1">
      <alignment vertical="center"/>
    </xf>
    <xf numFmtId="0" fontId="3" fillId="4" borderId="27" xfId="1" applyFont="1" applyFill="1" applyBorder="1" applyAlignment="1">
      <alignment horizontal="center" vertical="center" wrapText="1"/>
    </xf>
    <xf numFmtId="0" fontId="2" fillId="4" borderId="28" xfId="1" applyFont="1" applyFill="1" applyBorder="1" applyAlignment="1">
      <alignment vertical="center"/>
    </xf>
    <xf numFmtId="17" fontId="2" fillId="4" borderId="29" xfId="1" applyNumberFormat="1" applyFont="1" applyFill="1" applyBorder="1" applyAlignment="1">
      <alignment vertical="center"/>
    </xf>
    <xf numFmtId="0" fontId="2" fillId="4" borderId="25" xfId="1" applyFont="1" applyFill="1" applyBorder="1" applyAlignment="1">
      <alignment vertical="center" wrapText="1"/>
    </xf>
    <xf numFmtId="0" fontId="2" fillId="4" borderId="25" xfId="1" applyFont="1" applyFill="1" applyBorder="1" applyAlignment="1">
      <alignment vertical="center"/>
    </xf>
    <xf numFmtId="4" fontId="4" fillId="2" borderId="23" xfId="1" applyNumberFormat="1" applyFont="1" applyFill="1" applyBorder="1" applyAlignment="1">
      <alignment horizontal="center" vertical="center" wrapText="1"/>
    </xf>
    <xf numFmtId="4" fontId="4" fillId="2" borderId="35" xfId="1" applyNumberFormat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 wrapText="1"/>
    </xf>
    <xf numFmtId="4" fontId="2" fillId="2" borderId="35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9" fontId="2" fillId="2" borderId="19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Border="1" applyAlignment="1">
      <alignment horizontal="center" vertical="center" wrapText="1"/>
    </xf>
    <xf numFmtId="49" fontId="5" fillId="3" borderId="19" xfId="1" applyNumberFormat="1" applyFont="1" applyFill="1" applyBorder="1" applyAlignment="1">
      <alignment horizontal="center" vertical="center" wrapText="1"/>
    </xf>
    <xf numFmtId="4" fontId="4" fillId="2" borderId="11" xfId="1" applyNumberFormat="1" applyFont="1" applyFill="1" applyBorder="1" applyAlignment="1">
      <alignment horizontal="center" vertical="center" wrapText="1"/>
    </xf>
    <xf numFmtId="49" fontId="3" fillId="3" borderId="36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49" fontId="3" fillId="6" borderId="19" xfId="1" applyNumberFormat="1" applyFont="1" applyFill="1" applyBorder="1" applyAlignment="1">
      <alignment horizontal="center" vertical="center" wrapText="1"/>
    </xf>
    <xf numFmtId="4" fontId="3" fillId="6" borderId="11" xfId="1" applyNumberFormat="1" applyFont="1" applyFill="1" applyBorder="1" applyAlignment="1">
      <alignment horizontal="center" vertical="center" wrapText="1"/>
    </xf>
    <xf numFmtId="49" fontId="3" fillId="0" borderId="19" xfId="1" applyNumberFormat="1" applyFont="1" applyBorder="1" applyAlignment="1">
      <alignment horizontal="center" vertical="center" wrapText="1"/>
    </xf>
    <xf numFmtId="4" fontId="3" fillId="0" borderId="11" xfId="1" applyNumberFormat="1" applyFont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2" fontId="7" fillId="0" borderId="11" xfId="1" applyNumberFormat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2" fontId="3" fillId="3" borderId="19" xfId="1" applyNumberFormat="1" applyFont="1" applyFill="1" applyBorder="1" applyAlignment="1">
      <alignment horizontal="center" vertical="center" wrapText="1"/>
    </xf>
    <xf numFmtId="2" fontId="3" fillId="6" borderId="11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7" fillId="6" borderId="11" xfId="0" applyNumberFormat="1" applyFont="1" applyFill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4" fontId="3" fillId="6" borderId="11" xfId="0" applyNumberFormat="1" applyFont="1" applyFill="1" applyBorder="1" applyAlignment="1">
      <alignment horizontal="center" vertical="center" wrapText="1"/>
    </xf>
    <xf numFmtId="2" fontId="3" fillId="6" borderId="37" xfId="0" applyNumberFormat="1" applyFont="1" applyFill="1" applyBorder="1" applyAlignment="1">
      <alignment horizontal="center" vertical="center" wrapText="1"/>
    </xf>
    <xf numFmtId="49" fontId="2" fillId="2" borderId="36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20" xfId="1" applyFont="1" applyFill="1" applyBorder="1" applyAlignment="1">
      <alignment horizontal="center" vertical="center" wrapText="1"/>
    </xf>
    <xf numFmtId="49" fontId="2" fillId="2" borderId="23" xfId="1" applyNumberFormat="1" applyFont="1" applyFill="1" applyBorder="1" applyAlignment="1">
      <alignment horizontal="center" vertical="center" wrapText="1"/>
    </xf>
    <xf numFmtId="0" fontId="2" fillId="2" borderId="38" xfId="1" applyFont="1" applyFill="1" applyBorder="1" applyAlignment="1">
      <alignment horizontal="left" vertical="center" wrapText="1"/>
    </xf>
    <xf numFmtId="0" fontId="2" fillId="2" borderId="38" xfId="1" applyFont="1" applyFill="1" applyBorder="1" applyAlignment="1">
      <alignment horizontal="center" vertical="center" wrapText="1"/>
    </xf>
    <xf numFmtId="4" fontId="2" fillId="0" borderId="35" xfId="1" applyNumberFormat="1" applyFont="1" applyBorder="1" applyAlignment="1">
      <alignment horizontal="center" vertical="center" wrapText="1"/>
    </xf>
    <xf numFmtId="0" fontId="5" fillId="3" borderId="6" xfId="1" applyFont="1" applyFill="1" applyBorder="1" applyAlignment="1">
      <alignment horizontal="justify" vertical="center" wrapText="1"/>
    </xf>
    <xf numFmtId="1" fontId="8" fillId="0" borderId="18" xfId="0" applyNumberFormat="1" applyFont="1" applyBorder="1" applyAlignment="1">
      <alignment horizontal="center" vertical="center" wrapText="1"/>
    </xf>
    <xf numFmtId="1" fontId="8" fillId="0" borderId="19" xfId="0" applyNumberFormat="1" applyFont="1" applyBorder="1" applyAlignment="1">
      <alignment horizontal="center" vertical="center" wrapText="1"/>
    </xf>
    <xf numFmtId="1" fontId="8" fillId="0" borderId="39" xfId="0" applyNumberFormat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4" borderId="0" xfId="1" applyNumberFormat="1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2" borderId="0" xfId="1" applyNumberFormat="1" applyFont="1" applyFill="1" applyAlignment="1">
      <alignment vertical="center" wrapText="1"/>
    </xf>
    <xf numFmtId="49" fontId="3" fillId="3" borderId="0" xfId="1" applyNumberFormat="1" applyFont="1" applyFill="1" applyAlignment="1">
      <alignment vertical="center" wrapText="1"/>
    </xf>
    <xf numFmtId="0" fontId="2" fillId="0" borderId="40" xfId="0" applyFont="1" applyBorder="1" applyAlignment="1">
      <alignment horizontal="center" vertical="center" wrapText="1"/>
    </xf>
    <xf numFmtId="2" fontId="3" fillId="3" borderId="41" xfId="0" applyNumberFormat="1" applyFont="1" applyFill="1" applyBorder="1" applyAlignment="1">
      <alignment horizontal="center" vertical="center" wrapText="1"/>
    </xf>
    <xf numFmtId="0" fontId="3" fillId="0" borderId="4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0" fontId="2" fillId="2" borderId="43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left" vertical="center" wrapText="1"/>
    </xf>
    <xf numFmtId="0" fontId="2" fillId="2" borderId="15" xfId="1" applyFont="1" applyFill="1" applyBorder="1" applyAlignment="1">
      <alignment horizontal="center" vertical="center" wrapText="1"/>
    </xf>
    <xf numFmtId="4" fontId="2" fillId="2" borderId="37" xfId="1" applyNumberFormat="1" applyFon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49" fontId="2" fillId="2" borderId="0" xfId="1" applyNumberFormat="1" applyFont="1" applyFill="1" applyAlignment="1">
      <alignment vertical="center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3" fillId="0" borderId="8" xfId="0" applyFont="1" applyBorder="1" applyAlignment="1">
      <alignment vertical="center" wrapText="1"/>
    </xf>
    <xf numFmtId="0" fontId="7" fillId="0" borderId="8" xfId="1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2" fontId="7" fillId="0" borderId="46" xfId="0" applyNumberFormat="1" applyFont="1" applyBorder="1" applyAlignment="1">
      <alignment horizontal="center" vertical="center" wrapText="1"/>
    </xf>
    <xf numFmtId="2" fontId="3" fillId="0" borderId="48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2" fontId="3" fillId="6" borderId="0" xfId="1" applyNumberFormat="1" applyFont="1" applyFill="1" applyAlignment="1">
      <alignment vertical="center" wrapText="1"/>
    </xf>
    <xf numFmtId="0" fontId="7" fillId="0" borderId="48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51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52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2" fontId="3" fillId="0" borderId="46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49" fontId="3" fillId="3" borderId="0" xfId="1" applyNumberFormat="1" applyFont="1" applyFill="1" applyAlignment="1">
      <alignment vertical="center"/>
    </xf>
    <xf numFmtId="0" fontId="2" fillId="0" borderId="53" xfId="0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2" fontId="7" fillId="2" borderId="0" xfId="1" applyNumberFormat="1" applyFont="1" applyFill="1" applyAlignment="1">
      <alignment horizontal="center" vertical="center" wrapText="1"/>
    </xf>
    <xf numFmtId="0" fontId="3" fillId="6" borderId="1" xfId="1" applyFont="1" applyFill="1" applyBorder="1" applyAlignment="1">
      <alignment horizontal="left"/>
    </xf>
    <xf numFmtId="2" fontId="7" fillId="0" borderId="52" xfId="0" applyNumberFormat="1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49" fontId="3" fillId="0" borderId="54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4" fontId="2" fillId="2" borderId="0" xfId="1" applyNumberFormat="1" applyFont="1" applyFill="1" applyAlignment="1">
      <alignment vertical="center" wrapText="1"/>
    </xf>
    <xf numFmtId="164" fontId="2" fillId="2" borderId="0" xfId="1" applyNumberFormat="1" applyFont="1" applyFill="1" applyAlignment="1">
      <alignment horizontal="center" vertical="center" wrapText="1"/>
    </xf>
    <xf numFmtId="164" fontId="4" fillId="2" borderId="0" xfId="1" applyNumberFormat="1" applyFont="1" applyFill="1" applyAlignment="1">
      <alignment vertical="center" wrapText="1"/>
    </xf>
    <xf numFmtId="2" fontId="11" fillId="2" borderId="0" xfId="1" applyNumberFormat="1" applyFont="1" applyFill="1" applyAlignment="1">
      <alignment horizontal="center" vertical="center" wrapText="1"/>
    </xf>
    <xf numFmtId="164" fontId="9" fillId="2" borderId="0" xfId="1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4" fontId="3" fillId="3" borderId="0" xfId="1" applyNumberFormat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3" borderId="0" xfId="1" applyNumberFormat="1" applyFont="1" applyFill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2" borderId="0" xfId="1" applyFont="1" applyFill="1" applyAlignment="1">
      <alignment horizontal="right" vertical="center" wrapText="1"/>
    </xf>
    <xf numFmtId="49" fontId="2" fillId="2" borderId="0" xfId="1" applyNumberFormat="1" applyFont="1" applyFill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 wrapText="1"/>
    </xf>
    <xf numFmtId="0" fontId="3" fillId="6" borderId="9" xfId="1" applyFont="1" applyFill="1" applyBorder="1" applyAlignment="1">
      <alignment horizontal="center" vertical="center" wrapText="1"/>
    </xf>
    <xf numFmtId="0" fontId="3" fillId="6" borderId="5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4" fontId="2" fillId="2" borderId="8" xfId="1" applyNumberFormat="1" applyFont="1" applyFill="1" applyBorder="1" applyAlignment="1">
      <alignment horizontal="center" vertical="center" wrapText="1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4" fontId="2" fillId="0" borderId="8" xfId="1" applyNumberFormat="1" applyFon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center" vertical="center" wrapText="1"/>
    </xf>
    <xf numFmtId="4" fontId="2" fillId="0" borderId="21" xfId="1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peopn\Local%20Settings\Temporary%20Internet%20Files\Content.IE5\A94KM31Q\Documents%20and%20Settings\&#1054;&#1083;&#1100;&#1075;&#1072;%20&#1048;&#1074;&#1072;&#1085;&#1086;&#1074;&#1085;&#1072;\&#1056;&#1072;&#1073;&#1086;&#1095;&#1080;&#1081;%20&#1089;&#1090;&#1086;&#1083;\&#1056;&#1072;&#1089;&#1095;&#1077;&#1090;%20&#1090;&#1072;&#1088;&#1080;&#1092;&#1086;&#1074;%20&#1085;&#1072;%202008%20&#1075;&#1086;&#1076;%20%20&#1074;&#1090;&#1086;&#1088;&#1080;&#1095;&#1085;&#1086;%2029.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&#1052;&#1086;&#1080;%20&#1076;&#1086;&#1082;&#1091;&#1084;&#1077;&#1085;&#1090;&#1099;\&#1041;&#1055;-2006%20&#1075;\&#1053;&#1086;&#1074;&#1072;&#1103;%20&#1087;&#1072;&#1087;&#1082;&#1072;\2004%20&#1043;&#1054;&#1044;\&#1040;&#1050;&#1058;&#1067;%202004\&#1052;&#1072;&#1088;&#1090;\NES\&#1047;&#1072;&#1097;&#1080;&#1090;&#1072;%20&#1096;&#1080;&#108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operator\&#1056;&#1072;&#1073;&#1086;&#1095;&#1080;&#1081;%20&#1089;&#1090;&#1086;&#1083;\&#1048;&#1074;&#1072;&#1085;&#1086;&#1074;&#1072;\&#1088;&#1072;&#1079;&#1076;&#1077;&#1083;&#1077;&#1085;&#1080;&#1077;%20&#1090;&#1072;&#1088;&#1080;&#1092;&#1072;\&#1088;&#1072;&#1079;&#1076;&#1077;&#1083;%20&#1090;&#1072;&#1088;&#1080;&#1092;&#1072;%202007\&#1057;&#1069;&#1048;\&#1072;&#1084;&#1086;&#1088;&#1090;&#1080;&#1079;&#1072;&#1094;&#1080;&#1103;%202007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operator\&#1056;&#1072;&#1073;&#1086;&#1095;&#1080;&#1081;%20&#1089;&#1090;&#1086;&#1083;\&#1048;&#1074;&#1072;&#1085;&#1086;&#1074;&#1072;\&#1088;&#1072;&#1079;&#1076;&#1077;&#1083;&#1077;&#1085;&#1080;&#1077;%20&#1090;&#1072;&#1088;&#1080;&#1092;&#1072;\&#1088;&#1072;&#1079;&#1076;&#1077;&#1083;%20&#1090;&#1072;&#1088;&#1080;&#1092;&#1072;%202007\&#1057;&#1069;&#1048;\1.17%20&#1089;&#1101;&#108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operator\&#1052;&#1086;&#1080;%20&#1076;&#1086;&#1082;&#1091;&#1084;&#1077;&#1085;&#1090;&#1099;\&#1056;&#1040;&#1057;&#1063;&#1045;&#1058;&#1067;%20&#1058;&#1040;&#1056;&#1048;&#1060;&#1054;&#1042;%20&#1053;&#1040;%202008%20&#1043;&#1054;&#1044;\&#1056;&#1040;&#1057;&#1063;&#1045;&#1058;%20&#1052;&#1054;&#1049;\&#1056;&#1072;&#1089;&#1095;&#1077;&#1090;%20&#1085;&#1072;%202008%20&#1075;&#1086;&#107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Documents%20and%20Settings\otp2\&#1052;&#1086;&#1080;%20&#1076;&#1086;&#1082;&#1091;&#1084;&#1077;&#1085;&#1090;&#1099;\&#1044;&#1086;&#1082;&#1091;&#1084;&#1077;&#1085;&#1090;&#1099;\&#1050;&#1072;&#1083;&#1100;&#1082;&#1091;&#1083;&#1103;&#1094;&#1080;&#1080;\&#1050;&#1069;&#1059;&#1050;\&#1043;&#1045;&#1053;&#1045;&#1056;&#1040;&#1062;&#1048;&#1071;%20&#1056;&#1054;&#1057;&#1057;&#1048;&#1048;%20&#1045;&#1048;&#1040;&#1057;\&#1054;&#1040;&#1054;%20&#1050;&#1072;&#1089;&#1082;&#1072;&#1076;%20&#1053;&#1080;&#1078;&#1085;&#1077;-&#1063;&#1077;&#1088;&#1077;&#1082;&#1089;&#1082;&#1080;&#1093;%20&#1043;&#1069;&#1057;%20(&#1086;&#1089;&#1085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\&#1086;&#1073;&#1084;&#1077;&#1085;\&#1052;&#1086;&#1080;%20&#1076;&#1086;&#1082;&#1091;&#1084;&#1077;&#1085;&#1090;&#1099;\&#1041;&#1055;-2006%20&#1075;\&#1053;&#1086;&#1074;&#1072;&#1103;%20&#1087;&#1072;&#1087;&#1082;&#1072;\2004%20&#1043;&#1054;&#1044;\&#1040;&#1050;&#1058;&#1067;%202004\&#1052;&#1072;&#1088;&#1090;\WINDOWS\&#1056;&#1072;&#1073;&#1086;&#1095;&#1080;&#1081;%20&#1089;&#1090;&#1086;&#1083;\&#1057;&#1084;&#1077;&#1090;&#1072;\NES\&#1042;&#1072;&#1082;&#1091;&#1091;&#1084;&#1085;&#1099;&#1081;%20&#1074;&#1099;&#1082;&#1083;&#1102;&#1095;&#1072;&#1090;&#1077;&#1083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анализ роста"/>
      <sheetName val="титул"/>
      <sheetName val="1.2.2.И"/>
      <sheetName val="1.3.И"/>
      <sheetName val="1.4."/>
      <sheetName val="1.5.И"/>
      <sheetName val="1.6.И"/>
      <sheetName val="1.12.а"/>
      <sheetName val="1.12.И"/>
      <sheetName val="1.13.И"/>
      <sheetName val="1.15."/>
      <sheetName val="анализ роста к факту И"/>
      <sheetName val="прочие"/>
      <sheetName val="1.18.2."/>
      <sheetName val="1.16."/>
      <sheetName val="1.16. (08.10.07)"/>
      <sheetName val="1.16. жкх"/>
      <sheetName val="1.17."/>
      <sheetName val="1.17.1."/>
      <sheetName val="1.17.2."/>
      <sheetName val="1.20."/>
      <sheetName val="1.20.3"/>
      <sheetName val="1.21.3"/>
      <sheetName val="1.24."/>
      <sheetName val="1.25."/>
      <sheetName val="1.27."/>
      <sheetName val="Таб П2.1И"/>
      <sheetName val="ТабП.2.2И"/>
      <sheetName val="расчет"/>
      <sheetName val="расчет аморт"/>
      <sheetName val="тбо 2006И"/>
      <sheetName val="тепло 2006И"/>
      <sheetName val="вода 2006И"/>
      <sheetName val="мусор"/>
      <sheetName val="вода"/>
      <sheetName val="дезин"/>
      <sheetName val="9.8.6."/>
      <sheetName val="9.8.1."/>
      <sheetName val="9.8.23"/>
      <sheetName val="9.2."/>
      <sheetName val="несчас"/>
      <sheetName val="опасные"/>
      <sheetName val="автограж"/>
      <sheetName val="9.7.4."/>
      <sheetName val="9.6."/>
      <sheetName val="ЕСН"/>
      <sheetName val="ЕСНа"/>
      <sheetName val="9.8.2.а"/>
      <sheetName val="9.8.2."/>
      <sheetName val="9.8.3.-9.8.5."/>
      <sheetName val="сбор выр"/>
      <sheetName val="9.8.7."/>
      <sheetName val="9.8.8."/>
      <sheetName val="9.8.9."/>
      <sheetName val="9.8.10."/>
      <sheetName val="9.8.10.а"/>
      <sheetName val="9.8.12."/>
      <sheetName val="9.8.13."/>
      <sheetName val="9.3."/>
      <sheetName val="9.8.14. 9.8.15"/>
      <sheetName val="9.8.16"/>
      <sheetName val="9.8.17"/>
      <sheetName val="9.8.18"/>
      <sheetName val="9.8.19  9.8.20"/>
      <sheetName val="расчет конвертов"/>
      <sheetName val="9.8.21."/>
      <sheetName val="9.8.22"/>
      <sheetName val="9.8.23."/>
      <sheetName val="9.8.24."/>
      <sheetName val="9.8.25."/>
      <sheetName val="9.8.26."/>
      <sheetName val="9.8.27.  9.8.28."/>
      <sheetName val="услуги пр хар"/>
      <sheetName val="СБЫТ числ"/>
      <sheetName val="СБЫТ зарп"/>
      <sheetName val="СМУП  числ"/>
      <sheetName val="СМУП  зарп"/>
      <sheetName val="факт 2004"/>
      <sheetName val="расчет числ по ЖКХ"/>
      <sheetName val="приб на соц разв по ЖКХ"/>
      <sheetName val="ступень оплаты"/>
      <sheetName val="выпадающие по 2006 (3)"/>
      <sheetName val="выпадающие по 2006"/>
      <sheetName val="выпдающ 05-06"/>
      <sheetName val="выпадающ 2004"/>
      <sheetName val="выпадающ 2005"/>
      <sheetName val="титул (сб)"/>
      <sheetName val="1 (сб)"/>
      <sheetName val="2(сб)"/>
      <sheetName val="3 (сб)"/>
      <sheetName val="4(сб)"/>
      <sheetName val="5(сб)"/>
      <sheetName val="6(сб)"/>
      <sheetName val="7 (сб)"/>
      <sheetName val="8(сб)"/>
      <sheetName val="анализ роста к факту И (2)"/>
      <sheetName val="17_1"/>
      <sheetName val="18_2"/>
      <sheetName val="20_1"/>
      <sheetName val="21_3"/>
      <sheetName val="P2_1"/>
      <sheetName val="P2_2"/>
    </sheetNames>
    <sheetDataSet>
      <sheetData sheetId="0"/>
      <sheetData sheetId="1" refreshError="1">
        <row r="1">
          <cell r="G1" t="str">
            <v>Титульный лист</v>
          </cell>
        </row>
        <row r="2">
          <cell r="A2" t="str">
            <v>РАСЧЕТ ТАРИФОВ НА УСЛУГИ ПО ПЕРЕДАЧЕ ЭЛЕКТРИЧЕСКОЙ ЭНЕРГИИ</v>
          </cell>
        </row>
        <row r="6">
          <cell r="A6" t="str">
            <v>Наименование организации:</v>
          </cell>
          <cell r="B6" t="str">
            <v>Ставропольское муниципальное унитарное предприятие "Горэлектросеть"</v>
          </cell>
        </row>
        <row r="7">
          <cell r="A7" t="str">
            <v>Почтовый адрес:</v>
          </cell>
          <cell r="B7" t="str">
            <v>г. Ставрополь ул. Суворова,2</v>
          </cell>
        </row>
        <row r="9">
          <cell r="A9" t="str">
            <v>Код</v>
          </cell>
        </row>
        <row r="10">
          <cell r="A10" t="str">
            <v>отчитывающейся организации по ОКПО</v>
          </cell>
          <cell r="B10" t="str">
            <v>вида деятельности</v>
          </cell>
          <cell r="C10" t="str">
            <v xml:space="preserve">отрасли по ОКОНХ </v>
          </cell>
          <cell r="D10" t="str">
            <v>территории по ОКАТО</v>
          </cell>
          <cell r="E10" t="str">
            <v>министерства (ведомства), органа управления по ОКОГУ</v>
          </cell>
          <cell r="F10" t="str">
            <v>организационно-правовой формы по ОКОПФ</v>
          </cell>
          <cell r="G10" t="str">
            <v>формы собственности по ОКФС</v>
          </cell>
        </row>
        <row r="11">
          <cell r="A11">
            <v>1</v>
          </cell>
          <cell r="B11">
            <v>2</v>
          </cell>
          <cell r="C11">
            <v>3</v>
          </cell>
          <cell r="D11">
            <v>4</v>
          </cell>
          <cell r="E11">
            <v>5</v>
          </cell>
          <cell r="F11">
            <v>6</v>
          </cell>
          <cell r="G11">
            <v>7</v>
          </cell>
        </row>
        <row r="12">
          <cell r="A12" t="str">
            <v>03255048</v>
          </cell>
          <cell r="B12" t="str">
            <v>40.10.2</v>
          </cell>
          <cell r="C12" t="str">
            <v>11170</v>
          </cell>
          <cell r="D12" t="str">
            <v>07401366000</v>
          </cell>
          <cell r="E12" t="str">
            <v>49007</v>
          </cell>
          <cell r="F12" t="str">
            <v>42</v>
          </cell>
          <cell r="G12">
            <v>14</v>
          </cell>
        </row>
        <row r="14">
          <cell r="A14" t="str">
            <v>Период регулирования</v>
          </cell>
          <cell r="B14">
            <v>2007</v>
          </cell>
        </row>
        <row r="15">
          <cell r="A15" t="str">
            <v>Базовый период</v>
          </cell>
          <cell r="B15">
            <v>2006</v>
          </cell>
        </row>
      </sheetData>
      <sheetData sheetId="2" refreshError="1">
        <row r="3">
          <cell r="A3" t="str">
            <v>Титульный лист РАСЧЕТ ТАРИФОВ НА УСЛУГИ ПО ПЕРЕДАЧЕ ЭЛЕКТРИЧЕСКОЙ ЭНЕРГИИ</v>
          </cell>
        </row>
      </sheetData>
      <sheetData sheetId="3" refreshError="1">
        <row r="5">
          <cell r="E5" t="str">
            <v>ВН</v>
          </cell>
          <cell r="F5" t="str">
            <v>СН1</v>
          </cell>
          <cell r="G5" t="str">
            <v>СН2</v>
          </cell>
          <cell r="H5" t="str">
            <v>НН</v>
          </cell>
          <cell r="I5" t="str">
            <v>ВН</v>
          </cell>
          <cell r="J5" t="str">
            <v>СН1</v>
          </cell>
          <cell r="K5" t="str">
            <v>СН2</v>
          </cell>
          <cell r="L5" t="str">
            <v>НН</v>
          </cell>
          <cell r="M5" t="str">
            <v>ВН</v>
          </cell>
          <cell r="N5" t="str">
            <v>СН1</v>
          </cell>
          <cell r="O5" t="str">
            <v>СН2</v>
          </cell>
          <cell r="P5" t="str">
            <v>НН</v>
          </cell>
          <cell r="Q5" t="str">
            <v>ВН</v>
          </cell>
          <cell r="R5" t="str">
            <v>СН1</v>
          </cell>
          <cell r="S5" t="str">
            <v>СН2</v>
          </cell>
          <cell r="T5" t="str">
            <v>НН</v>
          </cell>
          <cell r="U5" t="str">
            <v>ВН</v>
          </cell>
          <cell r="V5" t="str">
            <v>СН1</v>
          </cell>
          <cell r="W5" t="str">
            <v>СН2</v>
          </cell>
          <cell r="X5" t="str">
            <v>НН</v>
          </cell>
        </row>
        <row r="6">
          <cell r="E6" t="str">
            <v>4</v>
          </cell>
          <cell r="F6" t="str">
            <v>5</v>
          </cell>
          <cell r="G6" t="str">
            <v>6</v>
          </cell>
          <cell r="H6" t="str">
            <v>7</v>
          </cell>
          <cell r="I6" t="str">
            <v>8</v>
          </cell>
          <cell r="J6" t="str">
            <v>9</v>
          </cell>
          <cell r="K6" t="str">
            <v>10</v>
          </cell>
          <cell r="L6" t="str">
            <v>11</v>
          </cell>
          <cell r="M6" t="str">
            <v>12</v>
          </cell>
          <cell r="N6" t="str">
            <v>13</v>
          </cell>
          <cell r="O6" t="str">
            <v>14</v>
          </cell>
          <cell r="P6" t="str">
            <v>15</v>
          </cell>
          <cell r="Q6" t="str">
            <v>16</v>
          </cell>
          <cell r="R6" t="str">
            <v>17</v>
          </cell>
          <cell r="S6" t="str">
            <v>18</v>
          </cell>
          <cell r="T6" t="str">
            <v>19</v>
          </cell>
          <cell r="U6" t="str">
            <v>20</v>
          </cell>
          <cell r="V6" t="str">
            <v>21</v>
          </cell>
          <cell r="W6" t="str">
            <v>22</v>
          </cell>
          <cell r="X6" t="str">
            <v>23</v>
          </cell>
        </row>
        <row r="7">
          <cell r="B7" t="str">
            <v>Условно-постоянные потери</v>
          </cell>
          <cell r="C7" t="str">
            <v>L1</v>
          </cell>
          <cell r="E7">
            <v>0</v>
          </cell>
          <cell r="F7">
            <v>0</v>
          </cell>
          <cell r="G7">
            <v>4.1749678595769169</v>
          </cell>
          <cell r="H7">
            <v>9.713775938116175</v>
          </cell>
          <cell r="I7">
            <v>0.1</v>
          </cell>
          <cell r="J7">
            <v>0</v>
          </cell>
          <cell r="K7">
            <v>4.1612585664813961</v>
          </cell>
          <cell r="L7">
            <v>9.9264975315869215</v>
          </cell>
          <cell r="M7">
            <v>0</v>
          </cell>
          <cell r="N7">
            <v>0</v>
          </cell>
          <cell r="O7">
            <v>3</v>
          </cell>
          <cell r="P7">
            <v>8.4338111338260937</v>
          </cell>
          <cell r="Q7">
            <v>0</v>
          </cell>
          <cell r="R7">
            <v>0</v>
          </cell>
          <cell r="S7">
            <v>5.3599999999999994</v>
          </cell>
          <cell r="T7">
            <v>8.0050000000000008</v>
          </cell>
          <cell r="U7">
            <v>0</v>
          </cell>
          <cell r="V7">
            <v>0</v>
          </cell>
          <cell r="W7">
            <v>5.3599999999999994</v>
          </cell>
          <cell r="X7">
            <v>8.0050000000000008</v>
          </cell>
        </row>
        <row r="8">
          <cell r="B8" t="str">
            <v xml:space="preserve">Потери электроэнергии холостого хода в силовом
трансформаторе   (автотрансформаторе) </v>
          </cell>
          <cell r="C8" t="str">
            <v>L1.1</v>
          </cell>
          <cell r="G8">
            <v>4.1723601344928589</v>
          </cell>
          <cell r="H8">
            <v>9.4399648042900814</v>
          </cell>
          <cell r="I8">
            <v>0.1</v>
          </cell>
          <cell r="K8">
            <v>4.1586594043536751</v>
          </cell>
          <cell r="L8">
            <v>9.6466902186160137</v>
          </cell>
          <cell r="O8">
            <v>3</v>
          </cell>
          <cell r="P8">
            <v>8.16</v>
          </cell>
          <cell r="Q8">
            <v>0</v>
          </cell>
          <cell r="R8">
            <v>0</v>
          </cell>
          <cell r="S8">
            <v>5.0999999999999996</v>
          </cell>
          <cell r="T8">
            <v>8</v>
          </cell>
          <cell r="U8">
            <v>0</v>
          </cell>
          <cell r="V8">
            <v>0</v>
          </cell>
          <cell r="W8">
            <v>5.0999999999999996</v>
          </cell>
          <cell r="X8">
            <v>8</v>
          </cell>
        </row>
        <row r="9">
          <cell r="B9" t="str">
            <v>Потери электроэнергии в шунтирующих реакторах (ШР)и соединительных проводах и сборных шинах распределительных устройств подстанций (СППС)</v>
          </cell>
          <cell r="C9" t="str">
            <v>L1.2</v>
          </cell>
        </row>
        <row r="10">
          <cell r="B10" t="str">
            <v>Потери электроэнергии в синхронных компенсаторах</v>
          </cell>
          <cell r="C10" t="str">
            <v>L1.3</v>
          </cell>
        </row>
        <row r="11">
          <cell r="B11" t="str">
            <v>Потери электроэнергии в статических компенсирующих устройствах - батареях статических конденсаторов (БК) и статических тиристорных компенсаторах (СТК)</v>
          </cell>
          <cell r="C11" t="str">
            <v>L1.4</v>
          </cell>
        </row>
        <row r="12">
          <cell r="B12" t="str">
            <v>Потери электроэнергии в вентильных разрядниках (РВ), ограничителях перенапряжений (ОПН), измерительных трансформаторах тока (ТТ)и напряжения (ТН) и устройствах присоединения ВЧ связи (УПВЧ)</v>
          </cell>
          <cell r="C12" t="str">
            <v>L1.5</v>
          </cell>
        </row>
        <row r="13">
          <cell r="B13" t="str">
            <v>Потери электроэнергии на корону</v>
          </cell>
          <cell r="C13" t="str">
            <v>L1.6</v>
          </cell>
        </row>
        <row r="14">
          <cell r="B14" t="str">
            <v>Потери электроэнергии от токов утечки по изоляторам воздушных линий</v>
          </cell>
          <cell r="C14" t="str">
            <v>L1.7</v>
          </cell>
        </row>
        <row r="15">
          <cell r="B15" t="str">
            <v>Расход электроэнергии на плавку гололеда</v>
          </cell>
          <cell r="C15" t="str">
            <v>L1.8</v>
          </cell>
        </row>
        <row r="16">
          <cell r="B16" t="str">
            <v>Потери электроэнергии в изоляции силовых кабелей</v>
          </cell>
          <cell r="C16" t="str">
            <v>L1.9</v>
          </cell>
        </row>
        <row r="17">
          <cell r="B17" t="str">
            <v>Расход электроэнергии на собственные нужды (СН) подстанций</v>
          </cell>
          <cell r="C17" t="str">
            <v>L1.10</v>
          </cell>
          <cell r="G17">
            <v>2.607725084058037E-3</v>
          </cell>
          <cell r="H17">
            <v>0.27381113382609401</v>
          </cell>
          <cell r="K17">
            <v>2.5991621277210472E-3</v>
          </cell>
          <cell r="L17">
            <v>0.279807312970907</v>
          </cell>
          <cell r="P17">
            <v>0.27381113382609401</v>
          </cell>
          <cell r="Q17">
            <v>0</v>
          </cell>
          <cell r="R17">
            <v>0</v>
          </cell>
          <cell r="S17">
            <v>0.26</v>
          </cell>
          <cell r="T17">
            <v>5.0000000000000001E-3</v>
          </cell>
          <cell r="U17">
            <v>0</v>
          </cell>
          <cell r="V17">
            <v>0</v>
          </cell>
          <cell r="W17">
            <v>0.26</v>
          </cell>
          <cell r="X17">
            <v>5.0000000000000001E-3</v>
          </cell>
        </row>
        <row r="18">
          <cell r="B18" t="str">
            <v>Условно переменные потери</v>
          </cell>
          <cell r="C18" t="str">
            <v>L2</v>
          </cell>
          <cell r="E18">
            <v>0</v>
          </cell>
          <cell r="F18">
            <v>0</v>
          </cell>
          <cell r="G18">
            <v>39.568672620680502</v>
          </cell>
          <cell r="H18">
            <v>51.642583581626397</v>
          </cell>
          <cell r="I18">
            <v>1.7</v>
          </cell>
          <cell r="J18">
            <v>0</v>
          </cell>
          <cell r="K18">
            <v>39.438741433518601</v>
          </cell>
          <cell r="L18">
            <v>52.773502468413078</v>
          </cell>
          <cell r="M18">
            <v>0</v>
          </cell>
          <cell r="N18">
            <v>0</v>
          </cell>
          <cell r="O18">
            <v>20</v>
          </cell>
          <cell r="P18">
            <v>39</v>
          </cell>
          <cell r="Q18">
            <v>0</v>
          </cell>
          <cell r="R18">
            <v>0</v>
          </cell>
          <cell r="S18">
            <v>45</v>
          </cell>
          <cell r="T18">
            <v>63.599999999999994</v>
          </cell>
          <cell r="U18">
            <v>0</v>
          </cell>
          <cell r="V18">
            <v>0</v>
          </cell>
          <cell r="W18">
            <v>42.930978908016804</v>
          </cell>
          <cell r="X18">
            <v>60.659021091983206</v>
          </cell>
        </row>
        <row r="19">
          <cell r="B19" t="str">
            <v>Нагрузочные потери электроэнергии</v>
          </cell>
          <cell r="C19" t="str">
            <v>L2.1</v>
          </cell>
          <cell r="E19">
            <v>0</v>
          </cell>
          <cell r="G19">
            <v>39.568672620680502</v>
          </cell>
          <cell r="H19">
            <v>51.642583581626397</v>
          </cell>
          <cell r="I19">
            <v>1.7</v>
          </cell>
          <cell r="K19">
            <v>39.438741433518601</v>
          </cell>
          <cell r="L19">
            <v>52.773502468413078</v>
          </cell>
          <cell r="O19">
            <v>20</v>
          </cell>
          <cell r="P19">
            <v>39</v>
          </cell>
          <cell r="Q19">
            <v>0</v>
          </cell>
          <cell r="R19">
            <v>0</v>
          </cell>
          <cell r="S19">
            <v>45</v>
          </cell>
          <cell r="T19">
            <v>63.599999999999994</v>
          </cell>
          <cell r="U19">
            <v>0</v>
          </cell>
          <cell r="V19">
            <v>0</v>
          </cell>
          <cell r="W19">
            <v>42.930978908016804</v>
          </cell>
          <cell r="X19">
            <v>60.659021091983206</v>
          </cell>
        </row>
        <row r="20">
          <cell r="B20" t="str">
            <v>Потери электроэнергии   обусловленные допустимой    погрешностью    системы учета    электроэнергии</v>
          </cell>
          <cell r="C20" t="str">
            <v>L3</v>
          </cell>
        </row>
        <row r="21">
          <cell r="B21" t="str">
            <v>Итого:</v>
          </cell>
          <cell r="C21" t="str">
            <v>L4</v>
          </cell>
          <cell r="E21">
            <v>0</v>
          </cell>
          <cell r="F21">
            <v>0</v>
          </cell>
          <cell r="G21">
            <v>43.743640480257419</v>
          </cell>
          <cell r="H21">
            <v>61.356359519742568</v>
          </cell>
          <cell r="I21">
            <v>1.8</v>
          </cell>
          <cell r="J21">
            <v>0</v>
          </cell>
          <cell r="K21">
            <v>43.599999999999994</v>
          </cell>
          <cell r="L21">
            <v>62.7</v>
          </cell>
          <cell r="M21">
            <v>0</v>
          </cell>
          <cell r="N21">
            <v>0</v>
          </cell>
          <cell r="O21">
            <v>23</v>
          </cell>
          <cell r="P21">
            <v>47.433811133826097</v>
          </cell>
          <cell r="Q21">
            <v>0</v>
          </cell>
          <cell r="R21">
            <v>0</v>
          </cell>
          <cell r="S21">
            <v>50.36</v>
          </cell>
          <cell r="T21">
            <v>71.60499999999999</v>
          </cell>
          <cell r="U21">
            <v>0</v>
          </cell>
          <cell r="V21">
            <v>0</v>
          </cell>
          <cell r="W21">
            <v>48.290978908016804</v>
          </cell>
          <cell r="X21">
            <v>68.664021091983201</v>
          </cell>
        </row>
      </sheetData>
      <sheetData sheetId="4" refreshError="1">
        <row r="6">
          <cell r="F6" t="str">
            <v>Всего</v>
          </cell>
          <cell r="G6" t="str">
            <v>ВН</v>
          </cell>
          <cell r="H6" t="str">
            <v>СН1</v>
          </cell>
          <cell r="I6" t="str">
            <v>СН2</v>
          </cell>
          <cell r="J6" t="str">
            <v>НН</v>
          </cell>
          <cell r="K6" t="str">
            <v>Всего</v>
          </cell>
          <cell r="L6" t="str">
            <v>ВН</v>
          </cell>
          <cell r="M6" t="str">
            <v>СН1</v>
          </cell>
          <cell r="N6" t="str">
            <v>СН2</v>
          </cell>
          <cell r="O6" t="str">
            <v>НН</v>
          </cell>
          <cell r="P6" t="str">
            <v>Всего</v>
          </cell>
          <cell r="Q6" t="str">
            <v>ВН</v>
          </cell>
          <cell r="R6" t="str">
            <v>СН1</v>
          </cell>
          <cell r="S6" t="str">
            <v>СН2</v>
          </cell>
          <cell r="T6" t="str">
            <v>НН</v>
          </cell>
          <cell r="U6" t="str">
            <v>Всего</v>
          </cell>
          <cell r="V6" t="str">
            <v>ВН</v>
          </cell>
          <cell r="W6" t="str">
            <v>СН1</v>
          </cell>
          <cell r="X6" t="str">
            <v>СН2</v>
          </cell>
          <cell r="Y6" t="str">
            <v>НН</v>
          </cell>
          <cell r="Z6" t="str">
            <v>Всего</v>
          </cell>
          <cell r="AA6" t="str">
            <v>ВН</v>
          </cell>
          <cell r="AB6" t="str">
            <v>СН1</v>
          </cell>
          <cell r="AC6" t="str">
            <v>СН2</v>
          </cell>
          <cell r="AD6" t="str">
            <v>НН</v>
          </cell>
        </row>
        <row r="7"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  <cell r="M7">
            <v>10</v>
          </cell>
          <cell r="N7">
            <v>11</v>
          </cell>
          <cell r="O7">
            <v>12</v>
          </cell>
          <cell r="P7">
            <v>13</v>
          </cell>
          <cell r="Q7">
            <v>14</v>
          </cell>
          <cell r="R7">
            <v>15</v>
          </cell>
          <cell r="S7">
            <v>16</v>
          </cell>
          <cell r="T7">
            <v>17</v>
          </cell>
          <cell r="U7">
            <v>18</v>
          </cell>
          <cell r="V7">
            <v>19</v>
          </cell>
          <cell r="W7">
            <v>20</v>
          </cell>
          <cell r="X7">
            <v>21</v>
          </cell>
          <cell r="Y7">
            <v>22</v>
          </cell>
          <cell r="Z7">
            <v>23</v>
          </cell>
          <cell r="AA7">
            <v>24</v>
          </cell>
          <cell r="AB7">
            <v>25</v>
          </cell>
          <cell r="AC7">
            <v>26</v>
          </cell>
          <cell r="AD7">
            <v>27</v>
          </cell>
        </row>
        <row r="8">
          <cell r="C8" t="str">
            <v>L1</v>
          </cell>
          <cell r="D8" t="str">
            <v>МКВТЧ</v>
          </cell>
          <cell r="E8" t="str">
            <v>Поступление эл.энергии в сеть, всего</v>
          </cell>
          <cell r="F8">
            <v>921.1</v>
          </cell>
          <cell r="G8">
            <v>921.1</v>
          </cell>
          <cell r="H8">
            <v>871.4</v>
          </cell>
          <cell r="I8">
            <v>871.25</v>
          </cell>
          <cell r="J8">
            <v>491.00635951974255</v>
          </cell>
          <cell r="K8">
            <v>899.5856</v>
          </cell>
          <cell r="L8">
            <v>899.5856</v>
          </cell>
          <cell r="M8">
            <v>858.17440000000011</v>
          </cell>
          <cell r="N8">
            <v>858.17440000000011</v>
          </cell>
          <cell r="O8">
            <v>490.52540000000016</v>
          </cell>
          <cell r="P8">
            <v>901.4</v>
          </cell>
          <cell r="Q8">
            <v>901.4</v>
          </cell>
          <cell r="R8">
            <v>855.42</v>
          </cell>
          <cell r="S8">
            <v>855.42</v>
          </cell>
          <cell r="T8">
            <v>476.67999999999995</v>
          </cell>
          <cell r="U8">
            <v>982.74400000000014</v>
          </cell>
          <cell r="V8">
            <v>982.74400000000014</v>
          </cell>
          <cell r="W8">
            <v>947.59500000000014</v>
          </cell>
          <cell r="X8">
            <v>947.59400000000016</v>
          </cell>
          <cell r="Y8">
            <v>517.20900000000006</v>
          </cell>
          <cell r="Z8">
            <v>1002.5</v>
          </cell>
          <cell r="AA8">
            <v>1002.5</v>
          </cell>
          <cell r="AB8">
            <v>966.53800000000001</v>
          </cell>
          <cell r="AC8">
            <v>966.53700000000003</v>
          </cell>
          <cell r="AD8">
            <v>434.26902109198323</v>
          </cell>
        </row>
        <row r="9">
          <cell r="C9" t="str">
            <v>L1.1</v>
          </cell>
          <cell r="D9" t="str">
            <v>МКВТЧ</v>
          </cell>
          <cell r="E9" t="str">
            <v>Поступление эл.энергии из смежной сети, всего</v>
          </cell>
          <cell r="F9">
            <v>0</v>
          </cell>
          <cell r="G9">
            <v>0</v>
          </cell>
          <cell r="H9">
            <v>871.4</v>
          </cell>
          <cell r="I9">
            <v>871.25</v>
          </cell>
          <cell r="J9">
            <v>491.00635951974255</v>
          </cell>
          <cell r="K9">
            <v>0</v>
          </cell>
          <cell r="L9">
            <v>0</v>
          </cell>
          <cell r="M9">
            <v>858.17440000000011</v>
          </cell>
          <cell r="N9">
            <v>858.17440000000011</v>
          </cell>
          <cell r="O9">
            <v>490.52540000000016</v>
          </cell>
          <cell r="P9">
            <v>0</v>
          </cell>
          <cell r="Q9">
            <v>0</v>
          </cell>
          <cell r="R9">
            <v>855.42</v>
          </cell>
          <cell r="S9">
            <v>855.42</v>
          </cell>
          <cell r="T9">
            <v>476.67999999999995</v>
          </cell>
          <cell r="U9">
            <v>0</v>
          </cell>
          <cell r="V9">
            <v>0</v>
          </cell>
          <cell r="W9">
            <v>947.59500000000014</v>
          </cell>
          <cell r="X9">
            <v>947.59400000000016</v>
          </cell>
          <cell r="Y9">
            <v>517.20900000000006</v>
          </cell>
          <cell r="Z9">
            <v>0</v>
          </cell>
          <cell r="AA9">
            <v>0</v>
          </cell>
          <cell r="AB9">
            <v>966.53800000000001</v>
          </cell>
          <cell r="AC9">
            <v>966.53700000000003</v>
          </cell>
          <cell r="AD9">
            <v>434.26902109198323</v>
          </cell>
        </row>
        <row r="11">
          <cell r="C11" t="str">
            <v>L1.1.МСК</v>
          </cell>
          <cell r="D11" t="str">
            <v>МКВТЧ</v>
          </cell>
          <cell r="E11" t="str">
            <v>Поступление эл.энергии из смежной сети МСК</v>
          </cell>
        </row>
        <row r="12">
          <cell r="C12" t="str">
            <v>L1.1.ВН</v>
          </cell>
          <cell r="D12" t="str">
            <v>МКВТЧ</v>
          </cell>
          <cell r="E12" t="str">
            <v>Поступление эл.энергии из смежной сети ВН</v>
          </cell>
          <cell r="H12">
            <v>871.4</v>
          </cell>
          <cell r="M12">
            <v>858.17440000000011</v>
          </cell>
          <cell r="R12">
            <v>855.42</v>
          </cell>
          <cell r="W12">
            <v>947.59500000000014</v>
          </cell>
          <cell r="AB12">
            <v>966.53800000000001</v>
          </cell>
        </row>
        <row r="13">
          <cell r="C13" t="str">
            <v>L1.1.СН1</v>
          </cell>
          <cell r="D13" t="str">
            <v>МКВТЧ</v>
          </cell>
          <cell r="E13" t="str">
            <v>Поступление эл.энергии из смежной сети СН1</v>
          </cell>
          <cell r="I13">
            <v>871.25</v>
          </cell>
          <cell r="N13">
            <v>858.17440000000011</v>
          </cell>
          <cell r="S13">
            <v>855.42</v>
          </cell>
          <cell r="X13">
            <v>947.59400000000016</v>
          </cell>
          <cell r="AC13">
            <v>966.53700000000003</v>
          </cell>
        </row>
        <row r="14">
          <cell r="C14" t="str">
            <v>L1.1.СН2</v>
          </cell>
          <cell r="D14" t="str">
            <v>МКВТЧ</v>
          </cell>
          <cell r="E14" t="str">
            <v>Поступление эл.энергии из смежной сети СН2</v>
          </cell>
          <cell r="J14">
            <v>491.00635951974255</v>
          </cell>
          <cell r="O14">
            <v>490.52540000000016</v>
          </cell>
          <cell r="T14">
            <v>476.67999999999995</v>
          </cell>
          <cell r="Y14">
            <v>517.20900000000006</v>
          </cell>
          <cell r="AD14">
            <v>434.26902109198323</v>
          </cell>
        </row>
        <row r="15">
          <cell r="C15" t="str">
            <v>L1.2</v>
          </cell>
          <cell r="D15" t="str">
            <v>МКВТЧ</v>
          </cell>
          <cell r="E15" t="str">
            <v>Поступление эл.энергии от электростанций ПЭ (ЭСО)</v>
          </cell>
          <cell r="F15">
            <v>0</v>
          </cell>
          <cell r="K15">
            <v>0</v>
          </cell>
          <cell r="P15">
            <v>0</v>
          </cell>
          <cell r="U15">
            <v>0</v>
          </cell>
          <cell r="Z15">
            <v>0</v>
          </cell>
        </row>
        <row r="16">
          <cell r="C16" t="str">
            <v>L1.3</v>
          </cell>
          <cell r="D16" t="str">
            <v>МКВТЧ</v>
          </cell>
          <cell r="E16" t="str">
            <v>Поступление эл.энергии от других поставщиков (в т.ч. с оптового рынка)</v>
          </cell>
          <cell r="F16">
            <v>0</v>
          </cell>
          <cell r="K16">
            <v>0</v>
          </cell>
          <cell r="P16">
            <v>0</v>
          </cell>
          <cell r="U16">
            <v>0</v>
          </cell>
          <cell r="Z16">
            <v>0</v>
          </cell>
        </row>
        <row r="17">
          <cell r="C17" t="str">
            <v>L1.4</v>
          </cell>
          <cell r="D17" t="str">
            <v>МКВТЧ</v>
          </cell>
          <cell r="E17" t="str">
            <v xml:space="preserve">Поступление эл. энергии от других организаций </v>
          </cell>
          <cell r="F17">
            <v>921.1</v>
          </cell>
          <cell r="G17">
            <v>921.1</v>
          </cell>
          <cell r="K17">
            <v>899.5856</v>
          </cell>
          <cell r="L17">
            <v>899.5856</v>
          </cell>
          <cell r="P17">
            <v>901.4</v>
          </cell>
          <cell r="Q17">
            <v>901.4</v>
          </cell>
          <cell r="U17">
            <v>982.74400000000014</v>
          </cell>
          <cell r="V17">
            <v>982.74400000000014</v>
          </cell>
          <cell r="Z17">
            <v>1002.5</v>
          </cell>
          <cell r="AA17">
            <v>1002.5</v>
          </cell>
        </row>
        <row r="18">
          <cell r="C18" t="str">
            <v>L2</v>
          </cell>
          <cell r="D18" t="str">
            <v>МКВТЧ</v>
          </cell>
          <cell r="E18" t="str">
            <v xml:space="preserve">Потери электроэнергии в сети </v>
          </cell>
          <cell r="F18">
            <v>105.1</v>
          </cell>
          <cell r="G18">
            <v>0</v>
          </cell>
          <cell r="H18">
            <v>0</v>
          </cell>
          <cell r="I18">
            <v>43.743640480257419</v>
          </cell>
          <cell r="J18">
            <v>61.356359519742568</v>
          </cell>
          <cell r="K18">
            <v>108.1</v>
          </cell>
          <cell r="L18">
            <v>1.8</v>
          </cell>
          <cell r="M18">
            <v>0</v>
          </cell>
          <cell r="N18">
            <v>43.599999999999994</v>
          </cell>
          <cell r="O18">
            <v>62.7</v>
          </cell>
          <cell r="P18">
            <v>70.433811133826097</v>
          </cell>
          <cell r="Q18">
            <v>0</v>
          </cell>
          <cell r="R18">
            <v>0</v>
          </cell>
          <cell r="S18">
            <v>23</v>
          </cell>
          <cell r="T18">
            <v>47.433811133826097</v>
          </cell>
          <cell r="U18">
            <v>121.96499999999999</v>
          </cell>
          <cell r="V18">
            <v>0</v>
          </cell>
          <cell r="W18">
            <v>0</v>
          </cell>
          <cell r="X18">
            <v>50.36</v>
          </cell>
          <cell r="Y18">
            <v>71.60499999999999</v>
          </cell>
          <cell r="Z18">
            <v>116.95500000000001</v>
          </cell>
          <cell r="AA18">
            <v>0</v>
          </cell>
          <cell r="AB18">
            <v>0</v>
          </cell>
          <cell r="AC18">
            <v>48.290978908016804</v>
          </cell>
          <cell r="AD18">
            <v>68.664021091983201</v>
          </cell>
        </row>
        <row r="19">
          <cell r="C19" t="str">
            <v>L2.1</v>
          </cell>
          <cell r="D19" t="str">
            <v>ПРЦ</v>
          </cell>
          <cell r="E19" t="str">
            <v>Потери электроэнергии в сети, в %</v>
          </cell>
          <cell r="F19">
            <v>11.41027032895451</v>
          </cell>
          <cell r="G19">
            <v>0</v>
          </cell>
          <cell r="H19">
            <v>0</v>
          </cell>
          <cell r="I19">
            <v>5.0207908729133335</v>
          </cell>
          <cell r="J19">
            <v>12.496041717210291</v>
          </cell>
          <cell r="K19">
            <v>12.016644108131565</v>
          </cell>
          <cell r="L19">
            <v>0.20009213131023884</v>
          </cell>
          <cell r="M19">
            <v>0</v>
          </cell>
          <cell r="N19">
            <v>5.0805523912155834</v>
          </cell>
          <cell r="O19">
            <v>12.782212704989382</v>
          </cell>
          <cell r="P19">
            <v>7.8138241772604946</v>
          </cell>
          <cell r="Q19">
            <v>0</v>
          </cell>
          <cell r="R19">
            <v>0</v>
          </cell>
          <cell r="S19">
            <v>2.6887376961024994</v>
          </cell>
          <cell r="T19">
            <v>9.9508708428770039</v>
          </cell>
          <cell r="U19">
            <v>12.410658319969389</v>
          </cell>
          <cell r="V19">
            <v>0</v>
          </cell>
          <cell r="W19">
            <v>0</v>
          </cell>
          <cell r="X19">
            <v>5.3145123333410709</v>
          </cell>
          <cell r="Y19">
            <v>13.844499999033269</v>
          </cell>
          <cell r="Z19">
            <v>11.666334164588529</v>
          </cell>
          <cell r="AA19">
            <v>0</v>
          </cell>
          <cell r="AB19">
            <v>0</v>
          </cell>
          <cell r="AC19">
            <v>4.9962886995548859</v>
          </cell>
          <cell r="AD19">
            <v>15.811402093413282</v>
          </cell>
        </row>
        <row r="20">
          <cell r="C20" t="str">
            <v>L3</v>
          </cell>
          <cell r="D20" t="str">
            <v>МКВТЧ</v>
          </cell>
          <cell r="E20" t="str">
            <v>Расход электроэнергии на произв и хознужды</v>
          </cell>
          <cell r="F20">
            <v>2</v>
          </cell>
          <cell r="J20">
            <v>2</v>
          </cell>
          <cell r="K20">
            <v>1.3494999999999999</v>
          </cell>
          <cell r="O20">
            <v>1.3494999999999999</v>
          </cell>
          <cell r="P20">
            <v>1.17</v>
          </cell>
          <cell r="T20">
            <v>1.17</v>
          </cell>
          <cell r="U20">
            <v>1.246</v>
          </cell>
          <cell r="Y20">
            <v>1.246</v>
          </cell>
          <cell r="Z20">
            <v>1.329</v>
          </cell>
          <cell r="AD20">
            <v>1.329</v>
          </cell>
        </row>
        <row r="21">
          <cell r="C21" t="str">
            <v>L4</v>
          </cell>
          <cell r="D21" t="str">
            <v>МКВТЧ</v>
          </cell>
          <cell r="E21" t="str">
            <v xml:space="preserve">Полезный отпуск из сети </v>
          </cell>
          <cell r="G21">
            <v>921.1</v>
          </cell>
          <cell r="H21">
            <v>871.4</v>
          </cell>
          <cell r="I21">
            <v>827.50635951974255</v>
          </cell>
          <cell r="J21">
            <v>427.65</v>
          </cell>
          <cell r="L21">
            <v>897.78560000000004</v>
          </cell>
          <cell r="M21">
            <v>858.17440000000011</v>
          </cell>
          <cell r="N21">
            <v>814.57440000000008</v>
          </cell>
          <cell r="O21">
            <v>426.47590000000019</v>
          </cell>
          <cell r="Q21">
            <v>901.4</v>
          </cell>
          <cell r="R21">
            <v>855.42</v>
          </cell>
          <cell r="S21">
            <v>832.42</v>
          </cell>
          <cell r="T21">
            <v>428.07618886617382</v>
          </cell>
          <cell r="V21">
            <v>982.74400000000014</v>
          </cell>
          <cell r="W21">
            <v>947.59500000000014</v>
          </cell>
          <cell r="X21">
            <v>897.23400000000015</v>
          </cell>
          <cell r="Y21">
            <v>444.35800000000006</v>
          </cell>
          <cell r="AA21">
            <v>1002.5</v>
          </cell>
          <cell r="AB21">
            <v>966.53800000000001</v>
          </cell>
          <cell r="AC21">
            <v>918.24602109198327</v>
          </cell>
          <cell r="AD21">
            <v>364.27600000000001</v>
          </cell>
        </row>
        <row r="22">
          <cell r="C22" t="str">
            <v>L4.1</v>
          </cell>
          <cell r="D22" t="str">
            <v>МКВТЧ</v>
          </cell>
          <cell r="E22" t="str">
            <v>Полезный отпуск из сети  собственным потребителям ЭСО</v>
          </cell>
          <cell r="F22">
            <v>814</v>
          </cell>
          <cell r="G22">
            <v>49.7</v>
          </cell>
          <cell r="H22">
            <v>0.15</v>
          </cell>
          <cell r="I22">
            <v>336.5</v>
          </cell>
          <cell r="J22">
            <v>427.65</v>
          </cell>
          <cell r="K22">
            <v>790.1321999999999</v>
          </cell>
          <cell r="L22">
            <v>39.611199999999997</v>
          </cell>
          <cell r="M22">
            <v>0</v>
          </cell>
          <cell r="N22">
            <v>324.04899999999992</v>
          </cell>
          <cell r="O22">
            <v>426.47199999999998</v>
          </cell>
          <cell r="P22">
            <v>829.8</v>
          </cell>
          <cell r="Q22">
            <v>45.98</v>
          </cell>
          <cell r="R22">
            <v>0</v>
          </cell>
          <cell r="S22">
            <v>355.74</v>
          </cell>
          <cell r="T22">
            <v>428.08</v>
          </cell>
          <cell r="U22">
            <v>859.79800000000012</v>
          </cell>
          <cell r="V22">
            <v>35.149000000000001</v>
          </cell>
          <cell r="W22">
            <v>1E-3</v>
          </cell>
          <cell r="X22">
            <v>380.02500000000009</v>
          </cell>
          <cell r="Y22">
            <v>444.62300000000005</v>
          </cell>
          <cell r="Z22">
            <v>884.48100000000011</v>
          </cell>
          <cell r="AA22">
            <v>35.962000000000003</v>
          </cell>
          <cell r="AB22">
            <v>1E-3</v>
          </cell>
          <cell r="AC22">
            <v>483.97700000000003</v>
          </cell>
          <cell r="AD22">
            <v>364.54100000000005</v>
          </cell>
        </row>
        <row r="23">
          <cell r="D23" t="str">
            <v>МКВТЧ</v>
          </cell>
        </row>
        <row r="24">
          <cell r="C24" t="str">
            <v>L4.1.1</v>
          </cell>
          <cell r="D24" t="str">
            <v>МКВТЧ</v>
          </cell>
          <cell r="E24" t="str">
            <v>Полезный отпуск из сети  потребителям, присоединенным к центру питания на генераторном напряжении</v>
          </cell>
          <cell r="F24">
            <v>0</v>
          </cell>
          <cell r="K24">
            <v>0</v>
          </cell>
          <cell r="P24">
            <v>0</v>
          </cell>
          <cell r="U24">
            <v>0</v>
          </cell>
          <cell r="Z24">
            <v>0</v>
          </cell>
        </row>
        <row r="25">
          <cell r="C25" t="str">
            <v>L4.1.2</v>
          </cell>
          <cell r="D25" t="str">
            <v>МКВТЧ</v>
          </cell>
          <cell r="E25" t="str">
            <v>Полезный отпуск из сети  потребителям присоединенным к сетям МСК (последняя миля)</v>
          </cell>
          <cell r="F25">
            <v>0</v>
          </cell>
        </row>
        <row r="26">
          <cell r="C26" t="str">
            <v>L4.2</v>
          </cell>
          <cell r="D26" t="str">
            <v>МКВТЧ</v>
          </cell>
          <cell r="E26" t="str">
            <v>Полезный отпуск из сети  потребителям оптового рынка</v>
          </cell>
          <cell r="F26">
            <v>0</v>
          </cell>
          <cell r="K26">
            <v>0</v>
          </cell>
          <cell r="P26">
            <v>0</v>
          </cell>
          <cell r="U26">
            <v>0</v>
          </cell>
          <cell r="Z26">
            <v>0</v>
          </cell>
        </row>
        <row r="27">
          <cell r="C27" t="str">
            <v>L4.3</v>
          </cell>
          <cell r="D27" t="str">
            <v>МКВТЧ</v>
          </cell>
          <cell r="E27" t="str">
            <v>Сальдо переток в другие организации</v>
          </cell>
          <cell r="F27">
            <v>0</v>
          </cell>
          <cell r="K27">
            <v>0</v>
          </cell>
          <cell r="P27">
            <v>0</v>
          </cell>
          <cell r="U27">
            <v>0</v>
          </cell>
          <cell r="Z27">
            <v>0</v>
          </cell>
        </row>
        <row r="28">
          <cell r="C28" t="str">
            <v>L4.4</v>
          </cell>
          <cell r="D28" t="str">
            <v>МКВТЧ</v>
          </cell>
          <cell r="E28" t="str">
            <v>Сальдо переток в сопредельные регионы</v>
          </cell>
          <cell r="F28">
            <v>0</v>
          </cell>
          <cell r="K28">
            <v>0</v>
          </cell>
          <cell r="P28">
            <v>0</v>
          </cell>
          <cell r="U28">
            <v>0</v>
          </cell>
          <cell r="Z28">
            <v>0</v>
          </cell>
        </row>
        <row r="29">
          <cell r="C29" t="str">
            <v>L5</v>
          </cell>
          <cell r="D29" t="str">
            <v>МКВТЧ</v>
          </cell>
          <cell r="E29" t="str">
            <v>Проверка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L29">
            <v>0</v>
          </cell>
          <cell r="M29">
            <v>0</v>
          </cell>
          <cell r="N29">
            <v>0</v>
          </cell>
          <cell r="O29">
            <v>3.9000000002147317E-3</v>
          </cell>
          <cell r="Q29">
            <v>0</v>
          </cell>
          <cell r="R29">
            <v>0</v>
          </cell>
          <cell r="S29">
            <v>0</v>
          </cell>
          <cell r="T29">
            <v>-3.8111338261614947E-3</v>
          </cell>
          <cell r="V29">
            <v>0</v>
          </cell>
          <cell r="W29">
            <v>0</v>
          </cell>
          <cell r="X29">
            <v>0</v>
          </cell>
          <cell r="Y29">
            <v>-0.26499999999998636</v>
          </cell>
          <cell r="AA29">
            <v>0</v>
          </cell>
          <cell r="AB29">
            <v>0</v>
          </cell>
          <cell r="AC29">
            <v>0</v>
          </cell>
          <cell r="AD29">
            <v>-0.2650000000000432</v>
          </cell>
        </row>
      </sheetData>
      <sheetData sheetId="5" refreshError="1">
        <row r="7"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  <cell r="M7">
            <v>10</v>
          </cell>
          <cell r="N7">
            <v>11</v>
          </cell>
          <cell r="O7">
            <v>12</v>
          </cell>
          <cell r="P7">
            <v>13</v>
          </cell>
          <cell r="Q7">
            <v>14</v>
          </cell>
          <cell r="R7">
            <v>15</v>
          </cell>
          <cell r="S7">
            <v>16</v>
          </cell>
          <cell r="T7">
            <v>17</v>
          </cell>
          <cell r="U7">
            <v>18</v>
          </cell>
          <cell r="V7">
            <v>19</v>
          </cell>
          <cell r="W7">
            <v>20</v>
          </cell>
          <cell r="X7">
            <v>21</v>
          </cell>
          <cell r="Y7">
            <v>22</v>
          </cell>
          <cell r="Z7">
            <v>23</v>
          </cell>
          <cell r="AA7">
            <v>24</v>
          </cell>
          <cell r="AB7">
            <v>25</v>
          </cell>
          <cell r="AC7">
            <v>26</v>
          </cell>
          <cell r="AD7">
            <v>27</v>
          </cell>
        </row>
        <row r="8">
          <cell r="C8" t="str">
            <v>L1</v>
          </cell>
          <cell r="D8" t="str">
            <v>МВТ</v>
          </cell>
          <cell r="E8" t="str">
            <v>Поступление мощности в сеть, всего</v>
          </cell>
          <cell r="F8">
            <v>146.48815115279061</v>
          </cell>
          <cell r="G8">
            <v>146.48815115279061</v>
          </cell>
          <cell r="H8">
            <v>137.1881511527906</v>
          </cell>
          <cell r="I8">
            <v>137.1881511527906</v>
          </cell>
          <cell r="J8">
            <v>80.462353969703159</v>
          </cell>
          <cell r="K8">
            <v>146.50988915590918</v>
          </cell>
          <cell r="L8">
            <v>146.50988915590918</v>
          </cell>
          <cell r="M8">
            <v>137.40988915590918</v>
          </cell>
          <cell r="N8">
            <v>137.40988915590918</v>
          </cell>
          <cell r="O8">
            <v>75.86068440601025</v>
          </cell>
          <cell r="P8">
            <v>148.61404268984606</v>
          </cell>
          <cell r="Q8">
            <v>148.61404268984606</v>
          </cell>
          <cell r="R8">
            <v>140.94404268984607</v>
          </cell>
          <cell r="S8">
            <v>140.94404268984607</v>
          </cell>
          <cell r="T8">
            <v>82.121911357974483</v>
          </cell>
          <cell r="U8">
            <v>151.59778587923816</v>
          </cell>
          <cell r="V8">
            <v>151.59778587923816</v>
          </cell>
          <cell r="W8">
            <v>146.18378587923817</v>
          </cell>
          <cell r="X8">
            <v>146.18378587923817</v>
          </cell>
          <cell r="Y8">
            <v>79.935311436767293</v>
          </cell>
          <cell r="Z8">
            <v>155.38057117823524</v>
          </cell>
          <cell r="AA8">
            <v>155.38057117823524</v>
          </cell>
          <cell r="AB8">
            <v>149.80557117823525</v>
          </cell>
          <cell r="AC8">
            <v>149.80557117823525</v>
          </cell>
          <cell r="AD8">
            <v>67.329423226021618</v>
          </cell>
        </row>
        <row r="9">
          <cell r="C9" t="str">
            <v>L1.1</v>
          </cell>
          <cell r="D9" t="str">
            <v>МВТ</v>
          </cell>
          <cell r="E9" t="str">
            <v>Поступление мощности из смежной сети, всего</v>
          </cell>
          <cell r="F9">
            <v>0</v>
          </cell>
          <cell r="G9">
            <v>0</v>
          </cell>
          <cell r="H9">
            <v>137.1881511527906</v>
          </cell>
          <cell r="I9">
            <v>137.1881511527906</v>
          </cell>
          <cell r="J9">
            <v>80.462353969703159</v>
          </cell>
          <cell r="K9">
            <v>0</v>
          </cell>
          <cell r="L9">
            <v>0</v>
          </cell>
          <cell r="M9">
            <v>137.40988915590918</v>
          </cell>
          <cell r="N9">
            <v>137.40988915590918</v>
          </cell>
          <cell r="O9">
            <v>75.86068440601025</v>
          </cell>
          <cell r="P9">
            <v>0</v>
          </cell>
          <cell r="Q9">
            <v>0</v>
          </cell>
          <cell r="R9">
            <v>140.94404268984607</v>
          </cell>
          <cell r="S9">
            <v>140.94404268984607</v>
          </cell>
          <cell r="T9">
            <v>82.121911357974483</v>
          </cell>
          <cell r="U9">
            <v>0</v>
          </cell>
          <cell r="V9">
            <v>0</v>
          </cell>
          <cell r="W9">
            <v>146.18378587923817</v>
          </cell>
          <cell r="X9">
            <v>146.18378587923817</v>
          </cell>
          <cell r="Y9">
            <v>79.935311436767293</v>
          </cell>
          <cell r="Z9">
            <v>0</v>
          </cell>
          <cell r="AA9">
            <v>0</v>
          </cell>
          <cell r="AB9">
            <v>149.80557117823525</v>
          </cell>
          <cell r="AC9">
            <v>149.80557117823525</v>
          </cell>
          <cell r="AD9">
            <v>67.329423226021618</v>
          </cell>
        </row>
        <row r="11">
          <cell r="C11" t="str">
            <v>L1.1.МСК</v>
          </cell>
          <cell r="D11" t="str">
            <v>МВТ</v>
          </cell>
          <cell r="E11" t="str">
            <v>Поступление мощности из смежной сети МСК</v>
          </cell>
        </row>
        <row r="12">
          <cell r="C12" t="str">
            <v>L1.1.ВН</v>
          </cell>
          <cell r="D12" t="str">
            <v>МВТ</v>
          </cell>
          <cell r="E12" t="str">
            <v>Поступление мощности из смежной сети ВН</v>
          </cell>
          <cell r="H12">
            <v>137.1881511527906</v>
          </cell>
          <cell r="M12">
            <v>137.40988915590918</v>
          </cell>
          <cell r="R12">
            <v>140.94404268984607</v>
          </cell>
          <cell r="W12">
            <v>146.18378587923817</v>
          </cell>
          <cell r="AB12">
            <v>149.80557117823525</v>
          </cell>
        </row>
        <row r="13">
          <cell r="C13" t="str">
            <v>L1.1.СН1</v>
          </cell>
          <cell r="D13" t="str">
            <v>МВТ</v>
          </cell>
          <cell r="E13" t="str">
            <v>Поступление мощности из смежной сети СН1</v>
          </cell>
          <cell r="I13">
            <v>137.1881511527906</v>
          </cell>
          <cell r="N13">
            <v>137.40988915590918</v>
          </cell>
          <cell r="S13">
            <v>140.94404268984607</v>
          </cell>
          <cell r="X13">
            <v>146.18378587923817</v>
          </cell>
          <cell r="AC13">
            <v>149.80557117823525</v>
          </cell>
        </row>
        <row r="14">
          <cell r="C14" t="str">
            <v>L1.1.СН2</v>
          </cell>
          <cell r="D14" t="str">
            <v>МВТ</v>
          </cell>
          <cell r="E14" t="str">
            <v>Поступление мощности из смежной сети СН2</v>
          </cell>
          <cell r="J14">
            <v>80.462353969703159</v>
          </cell>
          <cell r="O14">
            <v>75.86068440601025</v>
          </cell>
          <cell r="T14">
            <v>82.121911357974483</v>
          </cell>
          <cell r="Y14">
            <v>79.935311436767293</v>
          </cell>
          <cell r="AD14">
            <v>67.329423226021618</v>
          </cell>
        </row>
        <row r="15">
          <cell r="C15" t="str">
            <v>L1.2</v>
          </cell>
          <cell r="D15" t="str">
            <v>МВТ</v>
          </cell>
          <cell r="E15" t="str">
            <v>Поступление мощности от электростанций ПЭ (ЭСО)</v>
          </cell>
          <cell r="F15">
            <v>0</v>
          </cell>
          <cell r="K15">
            <v>0</v>
          </cell>
          <cell r="P15">
            <v>0</v>
          </cell>
          <cell r="U15">
            <v>0</v>
          </cell>
          <cell r="Z15">
            <v>0</v>
          </cell>
        </row>
        <row r="16">
          <cell r="C16" t="str">
            <v>L1.3</v>
          </cell>
          <cell r="D16" t="str">
            <v>МВТ</v>
          </cell>
          <cell r="E16" t="str">
            <v>Поступление мощности от других поставщиков (в т.ч. с оптового рынка)</v>
          </cell>
          <cell r="F16">
            <v>0</v>
          </cell>
          <cell r="K16">
            <v>0</v>
          </cell>
          <cell r="P16">
            <v>0</v>
          </cell>
          <cell r="U16">
            <v>0</v>
          </cell>
          <cell r="Z16">
            <v>0</v>
          </cell>
        </row>
        <row r="17">
          <cell r="C17" t="str">
            <v>L1.4</v>
          </cell>
          <cell r="D17" t="str">
            <v>МВТ</v>
          </cell>
          <cell r="E17" t="str">
            <v xml:space="preserve">Поступление мощности от других организаций </v>
          </cell>
          <cell r="F17">
            <v>146.48815115279061</v>
          </cell>
          <cell r="G17">
            <v>146.48815115279061</v>
          </cell>
          <cell r="K17">
            <v>146.50988915590918</v>
          </cell>
          <cell r="L17">
            <v>146.50988915590918</v>
          </cell>
          <cell r="P17">
            <v>148.61404268984606</v>
          </cell>
          <cell r="Q17">
            <v>148.61404268984606</v>
          </cell>
          <cell r="U17">
            <v>151.59778587923816</v>
          </cell>
          <cell r="V17">
            <v>151.59778587923816</v>
          </cell>
          <cell r="Z17">
            <v>155.38057117823524</v>
          </cell>
          <cell r="AA17">
            <v>155.38057117823524</v>
          </cell>
        </row>
        <row r="18">
          <cell r="C18" t="str">
            <v>L2</v>
          </cell>
          <cell r="D18" t="str">
            <v>МВТ</v>
          </cell>
          <cell r="E18" t="str">
            <v xml:space="preserve">Потери мощности в сети </v>
          </cell>
          <cell r="F18">
            <v>16.580406501790954</v>
          </cell>
          <cell r="I18">
            <v>6.5257971830874375</v>
          </cell>
          <cell r="J18">
            <v>10.054609318703518</v>
          </cell>
          <cell r="K18">
            <v>17.009889155909182</v>
          </cell>
          <cell r="N18">
            <v>7.2992047498989363</v>
          </cell>
          <cell r="O18">
            <v>9.7106844060102446</v>
          </cell>
          <cell r="P18">
            <v>11.754042689846081</v>
          </cell>
          <cell r="S18">
            <v>3.5721313318715917</v>
          </cell>
          <cell r="T18">
            <v>8.1819113579744887</v>
          </cell>
          <cell r="U18">
            <v>18.776785879238187</v>
          </cell>
          <cell r="V18">
            <v>0</v>
          </cell>
          <cell r="W18">
            <v>0</v>
          </cell>
          <cell r="X18">
            <v>7.7164744424708873</v>
          </cell>
          <cell r="Y18">
            <v>11.060311436767298</v>
          </cell>
          <cell r="Z18">
            <v>18.085571178235249</v>
          </cell>
          <cell r="AA18">
            <v>0</v>
          </cell>
          <cell r="AB18">
            <v>0</v>
          </cell>
          <cell r="AC18">
            <v>7.4461479522136393</v>
          </cell>
          <cell r="AD18">
            <v>10.639423226021609</v>
          </cell>
        </row>
        <row r="19">
          <cell r="C19" t="str">
            <v>L2.1</v>
          </cell>
          <cell r="D19" t="str">
            <v>ПРЦ</v>
          </cell>
          <cell r="E19" t="str">
            <v>Потери мощности в сети, в %</v>
          </cell>
          <cell r="G19">
            <v>0</v>
          </cell>
          <cell r="H19">
            <v>0</v>
          </cell>
          <cell r="I19">
            <v>4.7568227490867336</v>
          </cell>
          <cell r="J19">
            <v>12.496041717210291</v>
          </cell>
          <cell r="L19">
            <v>0</v>
          </cell>
          <cell r="M19">
            <v>0</v>
          </cell>
          <cell r="N19">
            <v>5.3119937689615995</v>
          </cell>
          <cell r="O19">
            <v>12.800681251487486</v>
          </cell>
          <cell r="Q19">
            <v>0</v>
          </cell>
          <cell r="R19">
            <v>0</v>
          </cell>
          <cell r="S19">
            <v>2.5344322922056612</v>
          </cell>
          <cell r="T19">
            <v>9.963128259775921</v>
          </cell>
          <cell r="V19">
            <v>0</v>
          </cell>
          <cell r="W19">
            <v>0</v>
          </cell>
          <cell r="X19">
            <v>5.2786117120030234</v>
          </cell>
          <cell r="Y19">
            <v>13.836577650062127</v>
          </cell>
          <cell r="AA19">
            <v>0</v>
          </cell>
          <cell r="AB19">
            <v>0</v>
          </cell>
          <cell r="AC19">
            <v>4.9705414115436213</v>
          </cell>
          <cell r="AD19">
            <v>15.802041241769709</v>
          </cell>
        </row>
        <row r="20">
          <cell r="C20" t="str">
            <v>L3</v>
          </cell>
          <cell r="D20" t="str">
            <v>МВТ</v>
          </cell>
          <cell r="E20" t="str">
            <v>Расход мощности на произв и хознужды</v>
          </cell>
          <cell r="F20">
            <v>0.32774465099964928</v>
          </cell>
          <cell r="J20">
            <v>0.32774465099964928</v>
          </cell>
          <cell r="K20">
            <v>0.1</v>
          </cell>
          <cell r="O20">
            <v>0.1</v>
          </cell>
          <cell r="P20">
            <v>0.1</v>
          </cell>
          <cell r="T20">
            <v>0.1</v>
          </cell>
          <cell r="U20">
            <v>0.2</v>
          </cell>
          <cell r="V20">
            <v>0</v>
          </cell>
          <cell r="W20">
            <v>0</v>
          </cell>
          <cell r="X20">
            <v>0</v>
          </cell>
          <cell r="Y20">
            <v>0.2</v>
          </cell>
          <cell r="Z20">
            <v>0.18</v>
          </cell>
          <cell r="AA20">
            <v>0</v>
          </cell>
          <cell r="AB20">
            <v>0</v>
          </cell>
          <cell r="AC20">
            <v>0</v>
          </cell>
          <cell r="AD20">
            <v>0.18</v>
          </cell>
        </row>
        <row r="21">
          <cell r="C21" t="str">
            <v>L4</v>
          </cell>
          <cell r="D21" t="str">
            <v>МВТ</v>
          </cell>
          <cell r="E21" t="str">
            <v xml:space="preserve">Полезный отпуск мощности из сети </v>
          </cell>
          <cell r="F21">
            <v>484.41865627528438</v>
          </cell>
          <cell r="G21">
            <v>146.48815115279061</v>
          </cell>
          <cell r="H21">
            <v>137.1881511527906</v>
          </cell>
          <cell r="I21">
            <v>130.66235396970316</v>
          </cell>
          <cell r="J21">
            <v>70.08</v>
          </cell>
          <cell r="K21">
            <v>480.08046271782865</v>
          </cell>
          <cell r="L21">
            <v>146.50988915590918</v>
          </cell>
          <cell r="M21">
            <v>137.40988915590918</v>
          </cell>
          <cell r="N21">
            <v>130.11068440601025</v>
          </cell>
          <cell r="O21">
            <v>66.050000000000011</v>
          </cell>
          <cell r="P21">
            <v>500.76999673766659</v>
          </cell>
          <cell r="Q21">
            <v>148.61404268984606</v>
          </cell>
          <cell r="R21">
            <v>140.94404268984607</v>
          </cell>
          <cell r="S21">
            <v>137.37191135797448</v>
          </cell>
          <cell r="T21">
            <v>73.84</v>
          </cell>
          <cell r="U21">
            <v>504.9238831952436</v>
          </cell>
          <cell r="V21">
            <v>151.59778587923816</v>
          </cell>
          <cell r="W21">
            <v>146.18378587923817</v>
          </cell>
          <cell r="X21">
            <v>138.46731143676729</v>
          </cell>
          <cell r="Y21">
            <v>68.674999999999997</v>
          </cell>
          <cell r="Z21">
            <v>504.05556558249214</v>
          </cell>
          <cell r="AA21">
            <v>155.38057117823524</v>
          </cell>
          <cell r="AB21">
            <v>149.80557117823525</v>
          </cell>
          <cell r="AC21">
            <v>142.35942322602162</v>
          </cell>
          <cell r="AD21">
            <v>56.510000000000012</v>
          </cell>
        </row>
        <row r="22">
          <cell r="C22" t="str">
            <v>L4.1</v>
          </cell>
          <cell r="D22" t="str">
            <v>МВТ</v>
          </cell>
          <cell r="E22" t="str">
            <v>Полезный мощности отпуск из сети собственным потребителям ЭСО</v>
          </cell>
          <cell r="F22">
            <v>129.57999999999998</v>
          </cell>
          <cell r="G22">
            <v>9.3000000000000007</v>
          </cell>
          <cell r="H22">
            <v>0</v>
          </cell>
          <cell r="I22">
            <v>50.2</v>
          </cell>
          <cell r="J22">
            <v>70.08</v>
          </cell>
          <cell r="K22">
            <v>129.4</v>
          </cell>
          <cell r="L22">
            <v>9.1</v>
          </cell>
          <cell r="N22">
            <v>54.25</v>
          </cell>
          <cell r="O22">
            <v>66.050000000000011</v>
          </cell>
          <cell r="P22">
            <v>136.76</v>
          </cell>
          <cell r="Q22">
            <v>7.67</v>
          </cell>
          <cell r="R22">
            <v>0</v>
          </cell>
          <cell r="S22">
            <v>55.25</v>
          </cell>
          <cell r="T22">
            <v>73.84</v>
          </cell>
          <cell r="U22">
            <v>132.62099999999998</v>
          </cell>
          <cell r="V22">
            <v>5.4139999999999997</v>
          </cell>
          <cell r="W22">
            <v>0</v>
          </cell>
          <cell r="X22">
            <v>58.531999999999996</v>
          </cell>
          <cell r="Y22">
            <v>68.674999999999997</v>
          </cell>
          <cell r="Z22">
            <v>137.11500000000001</v>
          </cell>
          <cell r="AA22">
            <v>5.5750000000000002</v>
          </cell>
          <cell r="AB22">
            <v>0</v>
          </cell>
          <cell r="AC22">
            <v>75.03</v>
          </cell>
          <cell r="AD22">
            <v>56.510000000000005</v>
          </cell>
        </row>
        <row r="23">
          <cell r="D23" t="str">
            <v>МВТ</v>
          </cell>
        </row>
        <row r="24">
          <cell r="C24" t="str">
            <v>L4.1.1</v>
          </cell>
          <cell r="D24" t="str">
            <v>МВТ</v>
          </cell>
          <cell r="E24" t="str">
            <v>Полезный отпуск мощности из сети  потребителям, присоединенным к центру питания на генераторном напряжении</v>
          </cell>
          <cell r="F24">
            <v>0</v>
          </cell>
          <cell r="K24">
            <v>0</v>
          </cell>
          <cell r="P24">
            <v>0</v>
          </cell>
          <cell r="U24">
            <v>0</v>
          </cell>
          <cell r="Z24">
            <v>0</v>
          </cell>
        </row>
        <row r="25">
          <cell r="C25" t="str">
            <v>L4.1.2</v>
          </cell>
          <cell r="D25" t="str">
            <v>МВТ</v>
          </cell>
          <cell r="E25" t="str">
            <v>Полезный отпуск мощности из сети  потребителям присоединенным к сетям МСК (последняя миля)</v>
          </cell>
          <cell r="F25">
            <v>0</v>
          </cell>
        </row>
        <row r="26">
          <cell r="C26" t="str">
            <v>L4.2</v>
          </cell>
          <cell r="D26" t="str">
            <v>МВТ</v>
          </cell>
          <cell r="E26" t="str">
            <v>Полезный отпуск мощности из сети  потребителям оптового рынка</v>
          </cell>
          <cell r="F26">
            <v>0</v>
          </cell>
          <cell r="K26">
            <v>0</v>
          </cell>
          <cell r="P26">
            <v>0</v>
          </cell>
          <cell r="U26">
            <v>0</v>
          </cell>
          <cell r="Z26">
            <v>0</v>
          </cell>
        </row>
        <row r="27">
          <cell r="C27" t="str">
            <v>L4.3</v>
          </cell>
          <cell r="D27" t="str">
            <v>МВТ</v>
          </cell>
          <cell r="E27" t="str">
            <v>Сальдо переток мощности в другие организации</v>
          </cell>
          <cell r="F27">
            <v>0</v>
          </cell>
          <cell r="K27">
            <v>0</v>
          </cell>
          <cell r="P27">
            <v>0</v>
          </cell>
          <cell r="U27">
            <v>0</v>
          </cell>
          <cell r="Z27">
            <v>0</v>
          </cell>
        </row>
        <row r="28">
          <cell r="C28" t="str">
            <v>L4.4</v>
          </cell>
          <cell r="D28" t="str">
            <v>МВТ</v>
          </cell>
          <cell r="E28" t="str">
            <v>Сальдо переток мощности в сопредельные регионы</v>
          </cell>
          <cell r="F28">
            <v>0</v>
          </cell>
          <cell r="K28">
            <v>0</v>
          </cell>
          <cell r="P28">
            <v>0</v>
          </cell>
          <cell r="U28">
            <v>0</v>
          </cell>
          <cell r="Z28">
            <v>0</v>
          </cell>
        </row>
        <row r="29">
          <cell r="C29" t="str">
            <v>L5</v>
          </cell>
          <cell r="D29" t="str">
            <v>МВТ</v>
          </cell>
          <cell r="E29" t="str">
            <v>Проверка</v>
          </cell>
        </row>
      </sheetData>
      <sheetData sheetId="6" refreshError="1">
        <row r="5">
          <cell r="C5" t="str">
            <v>Всего</v>
          </cell>
          <cell r="D5" t="str">
            <v>с шин</v>
          </cell>
          <cell r="E5" t="str">
            <v>ВН</v>
          </cell>
          <cell r="F5" t="str">
            <v>СН1</v>
          </cell>
          <cell r="G5" t="str">
            <v>СН2</v>
          </cell>
          <cell r="H5" t="str">
            <v>НН</v>
          </cell>
          <cell r="I5" t="str">
            <v>Всего</v>
          </cell>
          <cell r="J5" t="str">
            <v>с шин</v>
          </cell>
          <cell r="K5" t="str">
            <v>ВН</v>
          </cell>
          <cell r="L5" t="str">
            <v>СН1</v>
          </cell>
          <cell r="M5" t="str">
            <v>СН2</v>
          </cell>
          <cell r="N5" t="str">
            <v>НН</v>
          </cell>
          <cell r="P5" t="str">
            <v>Всего</v>
          </cell>
          <cell r="Q5" t="str">
            <v>с шин</v>
          </cell>
          <cell r="R5" t="str">
            <v>ВН</v>
          </cell>
          <cell r="S5" t="str">
            <v>СН1</v>
          </cell>
          <cell r="T5" t="str">
            <v>СН2</v>
          </cell>
          <cell r="U5" t="str">
            <v>НН</v>
          </cell>
        </row>
        <row r="6">
          <cell r="C6">
            <v>3</v>
          </cell>
          <cell r="D6">
            <v>4</v>
          </cell>
          <cell r="E6">
            <v>5</v>
          </cell>
          <cell r="F6">
            <v>6</v>
          </cell>
          <cell r="G6">
            <v>7</v>
          </cell>
          <cell r="H6">
            <v>8</v>
          </cell>
          <cell r="I6">
            <v>9</v>
          </cell>
          <cell r="J6">
            <v>10</v>
          </cell>
          <cell r="K6">
            <v>11</v>
          </cell>
          <cell r="L6">
            <v>12</v>
          </cell>
          <cell r="M6">
            <v>13</v>
          </cell>
          <cell r="N6">
            <v>14</v>
          </cell>
          <cell r="O6">
            <v>15</v>
          </cell>
          <cell r="P6">
            <v>16</v>
          </cell>
          <cell r="Q6">
            <v>17</v>
          </cell>
          <cell r="R6">
            <v>18</v>
          </cell>
          <cell r="S6">
            <v>19</v>
          </cell>
          <cell r="T6">
            <v>20</v>
          </cell>
          <cell r="U6">
            <v>21</v>
          </cell>
        </row>
        <row r="7">
          <cell r="A7">
            <v>2005</v>
          </cell>
        </row>
        <row r="8">
          <cell r="B8" t="str">
            <v>Базовые потребители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</row>
        <row r="9">
          <cell r="B9" t="str">
            <v xml:space="preserve">    в том числе:</v>
          </cell>
        </row>
        <row r="10">
          <cell r="B10" t="str">
            <v>БП №1</v>
          </cell>
          <cell r="C10">
            <v>0</v>
          </cell>
          <cell r="I10">
            <v>0</v>
          </cell>
          <cell r="O10" t="e">
            <v>#NAME?</v>
          </cell>
          <cell r="P10" t="e">
            <v>#NAME?</v>
          </cell>
          <cell r="Q10" t="e">
            <v>#NAME?</v>
          </cell>
          <cell r="R10" t="e">
            <v>#NAME?</v>
          </cell>
          <cell r="S10" t="e">
            <v>#NAME?</v>
          </cell>
          <cell r="T10" t="e">
            <v>#NAME?</v>
          </cell>
          <cell r="U10" t="e">
            <v>#NAME?</v>
          </cell>
        </row>
        <row r="11">
          <cell r="B11" t="str">
            <v>БП №2</v>
          </cell>
          <cell r="C11">
            <v>0</v>
          </cell>
          <cell r="I11">
            <v>0</v>
          </cell>
          <cell r="O11" t="e">
            <v>#NAME?</v>
          </cell>
          <cell r="P11" t="e">
            <v>#NAME?</v>
          </cell>
          <cell r="Q11" t="e">
            <v>#NAME?</v>
          </cell>
          <cell r="R11" t="e">
            <v>#NAME?</v>
          </cell>
          <cell r="S11" t="e">
            <v>#NAME?</v>
          </cell>
          <cell r="T11" t="e">
            <v>#NAME?</v>
          </cell>
          <cell r="U11" t="e">
            <v>#NAME?</v>
          </cell>
        </row>
        <row r="12">
          <cell r="B12" t="str">
            <v>БП №3</v>
          </cell>
          <cell r="C12">
            <v>0</v>
          </cell>
          <cell r="I12">
            <v>0</v>
          </cell>
          <cell r="O12" t="e">
            <v>#NAME?</v>
          </cell>
          <cell r="P12" t="e">
            <v>#NAME?</v>
          </cell>
          <cell r="Q12" t="e">
            <v>#NAME?</v>
          </cell>
          <cell r="R12" t="e">
            <v>#NAME?</v>
          </cell>
          <cell r="S12" t="e">
            <v>#NAME?</v>
          </cell>
          <cell r="T12" t="e">
            <v>#NAME?</v>
          </cell>
          <cell r="U12" t="e">
            <v>#NAME?</v>
          </cell>
        </row>
        <row r="13">
          <cell r="B13" t="str">
            <v>БП №4</v>
          </cell>
          <cell r="C13">
            <v>0</v>
          </cell>
          <cell r="I13">
            <v>0</v>
          </cell>
          <cell r="O13" t="e">
            <v>#NAME?</v>
          </cell>
          <cell r="P13" t="e">
            <v>#NAME?</v>
          </cell>
          <cell r="Q13" t="e">
            <v>#NAME?</v>
          </cell>
          <cell r="R13" t="e">
            <v>#NAME?</v>
          </cell>
          <cell r="S13" t="e">
            <v>#NAME?</v>
          </cell>
          <cell r="T13" t="e">
            <v>#NAME?</v>
          </cell>
          <cell r="U13" t="e">
            <v>#NAME?</v>
          </cell>
        </row>
        <row r="14">
          <cell r="B14" t="str">
            <v>БП №5</v>
          </cell>
          <cell r="C14">
            <v>0</v>
          </cell>
          <cell r="I14">
            <v>0</v>
          </cell>
          <cell r="O14" t="e">
            <v>#NAME?</v>
          </cell>
          <cell r="P14" t="e">
            <v>#NAME?</v>
          </cell>
          <cell r="Q14" t="e">
            <v>#NAME?</v>
          </cell>
          <cell r="R14" t="e">
            <v>#NAME?</v>
          </cell>
          <cell r="S14" t="e">
            <v>#NAME?</v>
          </cell>
          <cell r="T14" t="e">
            <v>#NAME?</v>
          </cell>
          <cell r="U14" t="e">
            <v>#NAME?</v>
          </cell>
        </row>
        <row r="15">
          <cell r="B15" t="str">
            <v>БП №6</v>
          </cell>
          <cell r="C15">
            <v>0</v>
          </cell>
          <cell r="I15">
            <v>0</v>
          </cell>
          <cell r="O15" t="e">
            <v>#NAME?</v>
          </cell>
          <cell r="P15" t="e">
            <v>#NAME?</v>
          </cell>
          <cell r="Q15" t="e">
            <v>#NAME?</v>
          </cell>
          <cell r="R15" t="e">
            <v>#NAME?</v>
          </cell>
          <cell r="S15" t="e">
            <v>#NAME?</v>
          </cell>
          <cell r="T15" t="e">
            <v>#NAME?</v>
          </cell>
          <cell r="U15" t="e">
            <v>#NAME?</v>
          </cell>
        </row>
        <row r="16">
          <cell r="B16" t="str">
            <v>БП №7</v>
          </cell>
          <cell r="C16">
            <v>0</v>
          </cell>
          <cell r="I16">
            <v>0</v>
          </cell>
          <cell r="O16" t="e">
            <v>#NAME?</v>
          </cell>
          <cell r="P16" t="e">
            <v>#NAME?</v>
          </cell>
          <cell r="Q16" t="e">
            <v>#NAME?</v>
          </cell>
          <cell r="R16" t="e">
            <v>#NAME?</v>
          </cell>
          <cell r="S16" t="e">
            <v>#NAME?</v>
          </cell>
          <cell r="T16" t="e">
            <v>#NAME?</v>
          </cell>
          <cell r="U16" t="e">
            <v>#NAME?</v>
          </cell>
        </row>
        <row r="17">
          <cell r="B17" t="str">
            <v>БП №8</v>
          </cell>
          <cell r="C17">
            <v>0</v>
          </cell>
          <cell r="I17">
            <v>0</v>
          </cell>
          <cell r="O17" t="e">
            <v>#NAME?</v>
          </cell>
          <cell r="P17" t="e">
            <v>#NAME?</v>
          </cell>
          <cell r="Q17" t="e">
            <v>#NAME?</v>
          </cell>
          <cell r="R17" t="e">
            <v>#NAME?</v>
          </cell>
          <cell r="S17" t="e">
            <v>#NAME?</v>
          </cell>
          <cell r="T17" t="e">
            <v>#NAME?</v>
          </cell>
          <cell r="U17" t="e">
            <v>#NAME?</v>
          </cell>
        </row>
        <row r="18">
          <cell r="B18" t="str">
            <v>БП №9</v>
          </cell>
          <cell r="C18">
            <v>0</v>
          </cell>
          <cell r="I18">
            <v>0</v>
          </cell>
          <cell r="O18" t="e">
            <v>#NAME?</v>
          </cell>
          <cell r="P18" t="e">
            <v>#NAME?</v>
          </cell>
          <cell r="Q18" t="e">
            <v>#NAME?</v>
          </cell>
          <cell r="R18" t="e">
            <v>#NAME?</v>
          </cell>
          <cell r="S18" t="e">
            <v>#NAME?</v>
          </cell>
          <cell r="T18" t="e">
            <v>#NAME?</v>
          </cell>
          <cell r="U18" t="e">
            <v>#NAME?</v>
          </cell>
        </row>
        <row r="19">
          <cell r="B19" t="str">
            <v>БП №10</v>
          </cell>
          <cell r="C19">
            <v>0</v>
          </cell>
          <cell r="I19">
            <v>0</v>
          </cell>
          <cell r="O19" t="e">
            <v>#NAME?</v>
          </cell>
          <cell r="P19" t="e">
            <v>#NAME?</v>
          </cell>
          <cell r="Q19" t="e">
            <v>#NAME?</v>
          </cell>
          <cell r="R19" t="e">
            <v>#NAME?</v>
          </cell>
          <cell r="S19" t="e">
            <v>#NAME?</v>
          </cell>
          <cell r="T19" t="e">
            <v>#NAME?</v>
          </cell>
          <cell r="U19" t="e">
            <v>#NAME?</v>
          </cell>
        </row>
        <row r="20">
          <cell r="B20" t="str">
            <v>Добавить строки</v>
          </cell>
        </row>
        <row r="21">
          <cell r="B21" t="str">
            <v>Население</v>
          </cell>
          <cell r="C21">
            <v>241.5</v>
          </cell>
          <cell r="H21">
            <v>241.5</v>
          </cell>
          <cell r="I21">
            <v>34.9</v>
          </cell>
          <cell r="N21">
            <v>34.9</v>
          </cell>
          <cell r="O21">
            <v>6919.7707736389684</v>
          </cell>
          <cell r="P21">
            <v>100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100</v>
          </cell>
        </row>
        <row r="22">
          <cell r="B22" t="str">
            <v>Прочие потребители</v>
          </cell>
          <cell r="C22">
            <v>572.5</v>
          </cell>
          <cell r="E22">
            <v>49.7</v>
          </cell>
          <cell r="F22">
            <v>0.15</v>
          </cell>
          <cell r="G22">
            <v>336.5</v>
          </cell>
          <cell r="H22">
            <v>186.14999999999998</v>
          </cell>
          <cell r="I22">
            <v>94.68</v>
          </cell>
          <cell r="K22">
            <v>9.3000000000000007</v>
          </cell>
          <cell r="M22">
            <v>50.2</v>
          </cell>
          <cell r="N22">
            <v>35.18</v>
          </cell>
          <cell r="O22">
            <v>6046.6835656949725</v>
          </cell>
          <cell r="P22">
            <v>100</v>
          </cell>
          <cell r="Q22">
            <v>0</v>
          </cell>
          <cell r="R22">
            <v>8.681222707423581</v>
          </cell>
          <cell r="S22">
            <v>2.6200873362445413E-2</v>
          </cell>
          <cell r="T22">
            <v>58.777292576419214</v>
          </cell>
          <cell r="U22">
            <v>32.515283842794759</v>
          </cell>
        </row>
        <row r="23">
          <cell r="B23" t="str">
            <v>Бюджетные потребители</v>
          </cell>
          <cell r="C23">
            <v>77.5</v>
          </cell>
          <cell r="G23">
            <v>15.6</v>
          </cell>
          <cell r="H23">
            <v>61.9</v>
          </cell>
          <cell r="I23">
            <v>12</v>
          </cell>
          <cell r="M23">
            <v>2</v>
          </cell>
          <cell r="N23">
            <v>10</v>
          </cell>
          <cell r="O23">
            <v>6458.333333333333</v>
          </cell>
          <cell r="P23">
            <v>100</v>
          </cell>
          <cell r="Q23">
            <v>0</v>
          </cell>
          <cell r="R23">
            <v>0</v>
          </cell>
          <cell r="S23">
            <v>0</v>
          </cell>
          <cell r="T23">
            <v>20.129032258064516</v>
          </cell>
          <cell r="U23">
            <v>79.870967741935488</v>
          </cell>
        </row>
        <row r="24">
          <cell r="B24" t="str">
            <v>Всего</v>
          </cell>
          <cell r="C24">
            <v>814</v>
          </cell>
          <cell r="D24">
            <v>0</v>
          </cell>
          <cell r="E24">
            <v>49.7</v>
          </cell>
          <cell r="F24">
            <v>0.15</v>
          </cell>
          <cell r="G24">
            <v>336.5</v>
          </cell>
          <cell r="H24">
            <v>427.65</v>
          </cell>
          <cell r="I24">
            <v>129.58000000000001</v>
          </cell>
          <cell r="J24">
            <v>0</v>
          </cell>
          <cell r="K24">
            <v>9.3000000000000007</v>
          </cell>
          <cell r="L24">
            <v>0</v>
          </cell>
          <cell r="M24">
            <v>50.2</v>
          </cell>
          <cell r="N24">
            <v>70.08</v>
          </cell>
          <cell r="O24">
            <v>6281.8336162988107</v>
          </cell>
          <cell r="P24">
            <v>100</v>
          </cell>
          <cell r="Q24">
            <v>0</v>
          </cell>
          <cell r="R24">
            <v>6.1056511056511065</v>
          </cell>
          <cell r="S24">
            <v>1.8427518427518427E-2</v>
          </cell>
          <cell r="T24">
            <v>41.339066339066335</v>
          </cell>
          <cell r="U24">
            <v>52.536855036855037</v>
          </cell>
        </row>
        <row r="26">
          <cell r="B26" t="str">
            <v>Базовые потребители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 t="e">
            <v>#DIV/0!</v>
          </cell>
          <cell r="P26" t="e">
            <v>#DIV/0!</v>
          </cell>
          <cell r="Q26" t="e">
            <v>#DIV/0!</v>
          </cell>
          <cell r="R26" t="e">
            <v>#DIV/0!</v>
          </cell>
          <cell r="S26" t="e">
            <v>#DIV/0!</v>
          </cell>
          <cell r="T26" t="e">
            <v>#DIV/0!</v>
          </cell>
          <cell r="U26" t="e">
            <v>#DIV/0!</v>
          </cell>
        </row>
        <row r="27">
          <cell r="B27" t="str">
            <v xml:space="preserve">    в том числе:</v>
          </cell>
        </row>
        <row r="28">
          <cell r="B28" t="str">
            <v>БП №1</v>
          </cell>
          <cell r="C28">
            <v>0</v>
          </cell>
          <cell r="I28">
            <v>0</v>
          </cell>
          <cell r="O28" t="e">
            <v>#NAME?</v>
          </cell>
          <cell r="P28" t="e">
            <v>#NAME?</v>
          </cell>
          <cell r="Q28" t="e">
            <v>#NAME?</v>
          </cell>
          <cell r="R28" t="e">
            <v>#NAME?</v>
          </cell>
          <cell r="S28" t="e">
            <v>#NAME?</v>
          </cell>
          <cell r="T28" t="e">
            <v>#NAME?</v>
          </cell>
          <cell r="U28" t="e">
            <v>#NAME?</v>
          </cell>
        </row>
        <row r="29">
          <cell r="B29" t="str">
            <v>БП №2</v>
          </cell>
          <cell r="C29">
            <v>0</v>
          </cell>
          <cell r="I29">
            <v>0</v>
          </cell>
          <cell r="O29" t="e">
            <v>#NAME?</v>
          </cell>
          <cell r="P29" t="e">
            <v>#NAME?</v>
          </cell>
          <cell r="Q29" t="e">
            <v>#NAME?</v>
          </cell>
          <cell r="R29" t="e">
            <v>#NAME?</v>
          </cell>
          <cell r="S29" t="e">
            <v>#NAME?</v>
          </cell>
          <cell r="T29" t="e">
            <v>#NAME?</v>
          </cell>
          <cell r="U29" t="e">
            <v>#NAME?</v>
          </cell>
        </row>
        <row r="30">
          <cell r="B30" t="str">
            <v>БП №3</v>
          </cell>
          <cell r="C30">
            <v>0</v>
          </cell>
          <cell r="I30">
            <v>0</v>
          </cell>
          <cell r="O30" t="e">
            <v>#NAME?</v>
          </cell>
          <cell r="P30" t="e">
            <v>#NAME?</v>
          </cell>
          <cell r="Q30" t="e">
            <v>#NAME?</v>
          </cell>
          <cell r="R30" t="e">
            <v>#NAME?</v>
          </cell>
          <cell r="S30" t="e">
            <v>#NAME?</v>
          </cell>
          <cell r="T30" t="e">
            <v>#NAME?</v>
          </cell>
          <cell r="U30" t="e">
            <v>#NAME?</v>
          </cell>
        </row>
        <row r="31">
          <cell r="B31" t="str">
            <v>БП №4</v>
          </cell>
          <cell r="C31">
            <v>0</v>
          </cell>
          <cell r="I31">
            <v>0</v>
          </cell>
          <cell r="O31" t="e">
            <v>#NAME?</v>
          </cell>
          <cell r="P31" t="e">
            <v>#NAME?</v>
          </cell>
          <cell r="Q31" t="e">
            <v>#NAME?</v>
          </cell>
          <cell r="R31" t="e">
            <v>#NAME?</v>
          </cell>
          <cell r="S31" t="e">
            <v>#NAME?</v>
          </cell>
          <cell r="T31" t="e">
            <v>#NAME?</v>
          </cell>
          <cell r="U31" t="e">
            <v>#NAME?</v>
          </cell>
        </row>
        <row r="32">
          <cell r="B32" t="str">
            <v>БП №5</v>
          </cell>
          <cell r="C32">
            <v>0</v>
          </cell>
          <cell r="I32">
            <v>0</v>
          </cell>
          <cell r="O32" t="e">
            <v>#NAME?</v>
          </cell>
          <cell r="P32" t="e">
            <v>#NAME?</v>
          </cell>
          <cell r="Q32" t="e">
            <v>#NAME?</v>
          </cell>
          <cell r="R32" t="e">
            <v>#NAME?</v>
          </cell>
          <cell r="S32" t="e">
            <v>#NAME?</v>
          </cell>
          <cell r="T32" t="e">
            <v>#NAME?</v>
          </cell>
          <cell r="U32" t="e">
            <v>#NAME?</v>
          </cell>
        </row>
        <row r="33">
          <cell r="B33" t="str">
            <v>БП №6</v>
          </cell>
          <cell r="C33">
            <v>0</v>
          </cell>
          <cell r="I33">
            <v>0</v>
          </cell>
          <cell r="O33" t="e">
            <v>#NAME?</v>
          </cell>
          <cell r="P33" t="e">
            <v>#NAME?</v>
          </cell>
          <cell r="Q33" t="e">
            <v>#NAME?</v>
          </cell>
          <cell r="R33" t="e">
            <v>#NAME?</v>
          </cell>
          <cell r="S33" t="e">
            <v>#NAME?</v>
          </cell>
          <cell r="T33" t="e">
            <v>#NAME?</v>
          </cell>
          <cell r="U33" t="e">
            <v>#NAME?</v>
          </cell>
        </row>
        <row r="34">
          <cell r="B34" t="str">
            <v>БП №7</v>
          </cell>
          <cell r="C34">
            <v>0</v>
          </cell>
          <cell r="I34">
            <v>0</v>
          </cell>
          <cell r="O34" t="e">
            <v>#NAME?</v>
          </cell>
          <cell r="P34" t="e">
            <v>#NAME?</v>
          </cell>
          <cell r="Q34" t="e">
            <v>#NAME?</v>
          </cell>
          <cell r="R34" t="e">
            <v>#NAME?</v>
          </cell>
          <cell r="S34" t="e">
            <v>#NAME?</v>
          </cell>
          <cell r="T34" t="e">
            <v>#NAME?</v>
          </cell>
          <cell r="U34" t="e">
            <v>#NAME?</v>
          </cell>
        </row>
        <row r="35">
          <cell r="B35" t="str">
            <v>БП №8</v>
          </cell>
          <cell r="C35">
            <v>0</v>
          </cell>
          <cell r="I35">
            <v>0</v>
          </cell>
          <cell r="O35" t="e">
            <v>#NAME?</v>
          </cell>
          <cell r="P35" t="e">
            <v>#NAME?</v>
          </cell>
          <cell r="Q35" t="e">
            <v>#NAME?</v>
          </cell>
          <cell r="R35" t="e">
            <v>#NAME?</v>
          </cell>
          <cell r="S35" t="e">
            <v>#NAME?</v>
          </cell>
          <cell r="T35" t="e">
            <v>#NAME?</v>
          </cell>
          <cell r="U35" t="e">
            <v>#NAME?</v>
          </cell>
        </row>
        <row r="36">
          <cell r="B36" t="str">
            <v>БП №9</v>
          </cell>
          <cell r="C36">
            <v>0</v>
          </cell>
          <cell r="I36">
            <v>0</v>
          </cell>
          <cell r="O36" t="e">
            <v>#NAME?</v>
          </cell>
          <cell r="P36" t="e">
            <v>#NAME?</v>
          </cell>
          <cell r="Q36" t="e">
            <v>#NAME?</v>
          </cell>
          <cell r="R36" t="e">
            <v>#NAME?</v>
          </cell>
          <cell r="S36" t="e">
            <v>#NAME?</v>
          </cell>
          <cell r="T36" t="e">
            <v>#NAME?</v>
          </cell>
          <cell r="U36" t="e">
            <v>#NAME?</v>
          </cell>
        </row>
        <row r="37">
          <cell r="B37" t="str">
            <v>БП №10</v>
          </cell>
          <cell r="C37">
            <v>0</v>
          </cell>
          <cell r="I37">
            <v>0</v>
          </cell>
          <cell r="O37" t="e">
            <v>#NAME?</v>
          </cell>
          <cell r="P37" t="e">
            <v>#NAME?</v>
          </cell>
          <cell r="Q37" t="e">
            <v>#NAME?</v>
          </cell>
          <cell r="R37" t="e">
            <v>#NAME?</v>
          </cell>
          <cell r="S37" t="e">
            <v>#NAME?</v>
          </cell>
          <cell r="T37" t="e">
            <v>#NAME?</v>
          </cell>
          <cell r="U37" t="e">
            <v>#NAME?</v>
          </cell>
        </row>
        <row r="38">
          <cell r="B38" t="str">
            <v>Добавить строки</v>
          </cell>
        </row>
        <row r="39">
          <cell r="B39" t="str">
            <v>Население</v>
          </cell>
          <cell r="C39">
            <v>233.93</v>
          </cell>
          <cell r="H39">
            <v>233.93</v>
          </cell>
          <cell r="I39">
            <v>34.380000000000003</v>
          </cell>
          <cell r="N39">
            <v>34.380000000000003</v>
          </cell>
          <cell r="O39">
            <v>6804.246655031995</v>
          </cell>
          <cell r="P39">
            <v>100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100</v>
          </cell>
        </row>
        <row r="40">
          <cell r="B40" t="str">
            <v>Прочие потребители</v>
          </cell>
          <cell r="C40">
            <v>595.87</v>
          </cell>
          <cell r="E40">
            <v>45.98</v>
          </cell>
          <cell r="G40">
            <v>355.74</v>
          </cell>
          <cell r="H40">
            <v>194.14999999999998</v>
          </cell>
          <cell r="I40">
            <v>102.38</v>
          </cell>
          <cell r="K40">
            <v>7.67</v>
          </cell>
          <cell r="M40">
            <v>55.25</v>
          </cell>
          <cell r="N40">
            <v>39.46</v>
          </cell>
          <cell r="O40">
            <v>5820.1797226020708</v>
          </cell>
          <cell r="P40">
            <v>100</v>
          </cell>
          <cell r="Q40">
            <v>0</v>
          </cell>
          <cell r="R40">
            <v>7.7164482185711645</v>
          </cell>
          <cell r="S40">
            <v>0</v>
          </cell>
          <cell r="T40">
            <v>59.700941480524271</v>
          </cell>
          <cell r="U40">
            <v>32.582610300904555</v>
          </cell>
        </row>
        <row r="41">
          <cell r="B41" t="str">
            <v>Бюджетные потребители</v>
          </cell>
          <cell r="C41">
            <v>75.52</v>
          </cell>
          <cell r="G41">
            <v>13.13</v>
          </cell>
          <cell r="H41">
            <v>62.39</v>
          </cell>
          <cell r="I41">
            <v>15.66</v>
          </cell>
          <cell r="M41">
            <v>2.72</v>
          </cell>
          <cell r="N41">
            <v>12.94</v>
          </cell>
          <cell r="O41">
            <v>4822.4776500638573</v>
          </cell>
          <cell r="P41">
            <v>100</v>
          </cell>
          <cell r="Q41">
            <v>0</v>
          </cell>
          <cell r="R41">
            <v>0</v>
          </cell>
          <cell r="S41">
            <v>0</v>
          </cell>
          <cell r="T41">
            <v>17.386122881355934</v>
          </cell>
          <cell r="U41">
            <v>82.613877118644069</v>
          </cell>
        </row>
        <row r="42">
          <cell r="B42" t="str">
            <v>Всего</v>
          </cell>
          <cell r="C42">
            <v>829.8</v>
          </cell>
          <cell r="D42">
            <v>0</v>
          </cell>
          <cell r="E42">
            <v>45.98</v>
          </cell>
          <cell r="F42">
            <v>0</v>
          </cell>
          <cell r="G42">
            <v>355.74</v>
          </cell>
          <cell r="H42">
            <v>428.08</v>
          </cell>
          <cell r="I42">
            <v>136.76</v>
          </cell>
          <cell r="J42">
            <v>0</v>
          </cell>
          <cell r="K42">
            <v>7.67</v>
          </cell>
          <cell r="L42">
            <v>0</v>
          </cell>
          <cell r="M42">
            <v>55.25</v>
          </cell>
          <cell r="N42">
            <v>73.84</v>
          </cell>
          <cell r="O42">
            <v>6067.5636150921327</v>
          </cell>
          <cell r="P42">
            <v>100</v>
          </cell>
          <cell r="Q42">
            <v>0</v>
          </cell>
          <cell r="R42">
            <v>5.5410942395758012</v>
          </cell>
          <cell r="S42">
            <v>0</v>
          </cell>
          <cell r="T42">
            <v>42.870571221981201</v>
          </cell>
          <cell r="U42">
            <v>51.588334538443007</v>
          </cell>
        </row>
        <row r="44">
          <cell r="B44" t="str">
            <v>Базовые потребители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</row>
        <row r="45">
          <cell r="B45" t="str">
            <v xml:space="preserve">    в том числе:</v>
          </cell>
        </row>
        <row r="46">
          <cell r="B46" t="str">
            <v>БП №1</v>
          </cell>
          <cell r="C46">
            <v>0</v>
          </cell>
          <cell r="I46">
            <v>0</v>
          </cell>
          <cell r="O46" t="e">
            <v>#NAME?</v>
          </cell>
          <cell r="P46" t="e">
            <v>#NAME?</v>
          </cell>
          <cell r="Q46" t="e">
            <v>#NAME?</v>
          </cell>
          <cell r="R46" t="e">
            <v>#NAME?</v>
          </cell>
          <cell r="S46" t="e">
            <v>#NAME?</v>
          </cell>
          <cell r="T46" t="e">
            <v>#NAME?</v>
          </cell>
          <cell r="U46" t="e">
            <v>#NAME?</v>
          </cell>
        </row>
        <row r="47">
          <cell r="B47" t="str">
            <v>БП №2</v>
          </cell>
          <cell r="C47">
            <v>0</v>
          </cell>
          <cell r="I47">
            <v>0</v>
          </cell>
          <cell r="O47" t="e">
            <v>#NAME?</v>
          </cell>
          <cell r="P47" t="e">
            <v>#NAME?</v>
          </cell>
          <cell r="Q47" t="e">
            <v>#NAME?</v>
          </cell>
          <cell r="R47" t="e">
            <v>#NAME?</v>
          </cell>
          <cell r="S47" t="e">
            <v>#NAME?</v>
          </cell>
          <cell r="T47" t="e">
            <v>#NAME?</v>
          </cell>
          <cell r="U47" t="e">
            <v>#NAME?</v>
          </cell>
        </row>
        <row r="48">
          <cell r="B48" t="str">
            <v>БП №3</v>
          </cell>
          <cell r="C48">
            <v>0</v>
          </cell>
          <cell r="I48">
            <v>0</v>
          </cell>
          <cell r="O48" t="e">
            <v>#NAME?</v>
          </cell>
          <cell r="P48" t="e">
            <v>#NAME?</v>
          </cell>
          <cell r="Q48" t="e">
            <v>#NAME?</v>
          </cell>
          <cell r="R48" t="e">
            <v>#NAME?</v>
          </cell>
          <cell r="S48" t="e">
            <v>#NAME?</v>
          </cell>
          <cell r="T48" t="e">
            <v>#NAME?</v>
          </cell>
          <cell r="U48" t="e">
            <v>#NAME?</v>
          </cell>
        </row>
        <row r="49">
          <cell r="B49" t="str">
            <v>БП №4</v>
          </cell>
          <cell r="C49">
            <v>0</v>
          </cell>
          <cell r="I49">
            <v>0</v>
          </cell>
          <cell r="O49" t="e">
            <v>#NAME?</v>
          </cell>
          <cell r="P49" t="e">
            <v>#NAME?</v>
          </cell>
          <cell r="Q49" t="e">
            <v>#NAME?</v>
          </cell>
          <cell r="R49" t="e">
            <v>#NAME?</v>
          </cell>
          <cell r="S49" t="e">
            <v>#NAME?</v>
          </cell>
          <cell r="T49" t="e">
            <v>#NAME?</v>
          </cell>
          <cell r="U49" t="e">
            <v>#NAME?</v>
          </cell>
        </row>
        <row r="50">
          <cell r="B50" t="str">
            <v>БП №5</v>
          </cell>
          <cell r="C50">
            <v>0</v>
          </cell>
          <cell r="I50">
            <v>0</v>
          </cell>
          <cell r="O50" t="e">
            <v>#NAME?</v>
          </cell>
          <cell r="P50" t="e">
            <v>#NAME?</v>
          </cell>
          <cell r="Q50" t="e">
            <v>#NAME?</v>
          </cell>
          <cell r="R50" t="e">
            <v>#NAME?</v>
          </cell>
          <cell r="S50" t="e">
            <v>#NAME?</v>
          </cell>
          <cell r="T50" t="e">
            <v>#NAME?</v>
          </cell>
          <cell r="U50" t="e">
            <v>#NAME?</v>
          </cell>
        </row>
        <row r="51">
          <cell r="B51" t="str">
            <v>БП №6</v>
          </cell>
          <cell r="C51">
            <v>0</v>
          </cell>
          <cell r="I51">
            <v>0</v>
          </cell>
          <cell r="O51" t="e">
            <v>#NAME?</v>
          </cell>
          <cell r="P51" t="e">
            <v>#NAME?</v>
          </cell>
          <cell r="Q51" t="e">
            <v>#NAME?</v>
          </cell>
          <cell r="R51" t="e">
            <v>#NAME?</v>
          </cell>
          <cell r="S51" t="e">
            <v>#NAME?</v>
          </cell>
          <cell r="T51" t="e">
            <v>#NAME?</v>
          </cell>
          <cell r="U51" t="e">
            <v>#NAME?</v>
          </cell>
        </row>
        <row r="52">
          <cell r="B52" t="str">
            <v>БП №7</v>
          </cell>
          <cell r="C52">
            <v>0</v>
          </cell>
          <cell r="I52">
            <v>0</v>
          </cell>
          <cell r="O52" t="e">
            <v>#NAME?</v>
          </cell>
          <cell r="P52" t="e">
            <v>#NAME?</v>
          </cell>
          <cell r="Q52" t="e">
            <v>#NAME?</v>
          </cell>
          <cell r="R52" t="e">
            <v>#NAME?</v>
          </cell>
          <cell r="S52" t="e">
            <v>#NAME?</v>
          </cell>
          <cell r="T52" t="e">
            <v>#NAME?</v>
          </cell>
          <cell r="U52" t="e">
            <v>#NAME?</v>
          </cell>
        </row>
        <row r="53">
          <cell r="B53" t="str">
            <v>БП №8</v>
          </cell>
          <cell r="C53">
            <v>0</v>
          </cell>
          <cell r="I53">
            <v>0</v>
          </cell>
          <cell r="O53" t="e">
            <v>#NAME?</v>
          </cell>
          <cell r="P53" t="e">
            <v>#NAME?</v>
          </cell>
          <cell r="Q53" t="e">
            <v>#NAME?</v>
          </cell>
          <cell r="R53" t="e">
            <v>#NAME?</v>
          </cell>
          <cell r="S53" t="e">
            <v>#NAME?</v>
          </cell>
          <cell r="T53" t="e">
            <v>#NAME?</v>
          </cell>
          <cell r="U53" t="e">
            <v>#NAME?</v>
          </cell>
        </row>
        <row r="54">
          <cell r="B54" t="str">
            <v>БП №9</v>
          </cell>
          <cell r="C54">
            <v>0</v>
          </cell>
          <cell r="I54">
            <v>0</v>
          </cell>
          <cell r="O54" t="e">
            <v>#NAME?</v>
          </cell>
          <cell r="P54" t="e">
            <v>#NAME?</v>
          </cell>
          <cell r="Q54" t="e">
            <v>#NAME?</v>
          </cell>
          <cell r="R54" t="e">
            <v>#NAME?</v>
          </cell>
          <cell r="S54" t="e">
            <v>#NAME?</v>
          </cell>
          <cell r="T54" t="e">
            <v>#NAME?</v>
          </cell>
          <cell r="U54" t="e">
            <v>#NAME?</v>
          </cell>
        </row>
        <row r="55">
          <cell r="B55" t="str">
            <v>БП №10</v>
          </cell>
          <cell r="C55">
            <v>0</v>
          </cell>
          <cell r="I55">
            <v>0</v>
          </cell>
          <cell r="O55" t="e">
            <v>#NAME?</v>
          </cell>
          <cell r="P55" t="e">
            <v>#NAME?</v>
          </cell>
          <cell r="Q55" t="e">
            <v>#NAME?</v>
          </cell>
          <cell r="R55" t="e">
            <v>#NAME?</v>
          </cell>
          <cell r="S55" t="e">
            <v>#NAME?</v>
          </cell>
          <cell r="T55" t="e">
            <v>#NAME?</v>
          </cell>
          <cell r="U55" t="e">
            <v>#NAME?</v>
          </cell>
        </row>
        <row r="56">
          <cell r="B56" t="str">
            <v>Добавить строки</v>
          </cell>
        </row>
        <row r="57">
          <cell r="B57" t="str">
            <v>Население</v>
          </cell>
          <cell r="C57">
            <v>282.38900000000001</v>
          </cell>
          <cell r="E57">
            <v>0</v>
          </cell>
          <cell r="F57">
            <v>0</v>
          </cell>
          <cell r="G57">
            <v>0</v>
          </cell>
          <cell r="H57">
            <v>282.38900000000001</v>
          </cell>
          <cell r="I57">
            <v>43.769999999999996</v>
          </cell>
          <cell r="K57">
            <v>0</v>
          </cell>
          <cell r="L57">
            <v>0</v>
          </cell>
          <cell r="M57">
            <v>0</v>
          </cell>
          <cell r="N57">
            <v>43.769999999999996</v>
          </cell>
          <cell r="O57">
            <v>6451.6563856522744</v>
          </cell>
          <cell r="P57">
            <v>100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100</v>
          </cell>
        </row>
        <row r="58">
          <cell r="B58" t="str">
            <v>Прочие потребители</v>
          </cell>
          <cell r="C58">
            <v>602.0920000000001</v>
          </cell>
          <cell r="E58">
            <v>35.962000000000003</v>
          </cell>
          <cell r="F58">
            <v>1E-3</v>
          </cell>
          <cell r="G58">
            <v>483.97700000000003</v>
          </cell>
          <cell r="H58">
            <v>82.152000000000044</v>
          </cell>
          <cell r="I58">
            <v>93.345000000000013</v>
          </cell>
          <cell r="K58">
            <v>5.5750000000000002</v>
          </cell>
          <cell r="L58">
            <v>0</v>
          </cell>
          <cell r="M58">
            <v>75.03</v>
          </cell>
          <cell r="N58">
            <v>12.740000000000009</v>
          </cell>
          <cell r="O58">
            <v>6450.1794418554819</v>
          </cell>
          <cell r="P58">
            <v>100</v>
          </cell>
          <cell r="Q58">
            <v>0</v>
          </cell>
          <cell r="R58">
            <v>5.9728413597921906</v>
          </cell>
          <cell r="S58">
            <v>1.6608757465636479E-4</v>
          </cell>
          <cell r="T58">
            <v>80.382566119463462</v>
          </cell>
          <cell r="U58">
            <v>13.644426433169688</v>
          </cell>
        </row>
        <row r="59">
          <cell r="B59" t="str">
            <v>Бюджетные потребители</v>
          </cell>
          <cell r="C59">
            <v>77.59</v>
          </cell>
          <cell r="E59">
            <v>0</v>
          </cell>
          <cell r="F59">
            <v>0</v>
          </cell>
          <cell r="G59">
            <v>66.171999999999997</v>
          </cell>
          <cell r="H59">
            <v>11.417999999999999</v>
          </cell>
          <cell r="I59">
            <v>13.603</v>
          </cell>
          <cell r="K59">
            <v>0</v>
          </cell>
          <cell r="L59">
            <v>0</v>
          </cell>
          <cell r="M59">
            <v>11.84</v>
          </cell>
          <cell r="N59">
            <v>1.7629999999999999</v>
          </cell>
          <cell r="O59">
            <v>5703.8888480482246</v>
          </cell>
          <cell r="P59">
            <v>100</v>
          </cell>
          <cell r="Q59">
            <v>0</v>
          </cell>
          <cell r="R59">
            <v>0</v>
          </cell>
          <cell r="S59">
            <v>0</v>
          </cell>
          <cell r="T59">
            <v>85.284186106457</v>
          </cell>
          <cell r="U59">
            <v>14.715813893542981</v>
          </cell>
        </row>
        <row r="60">
          <cell r="B60" t="str">
            <v>Всего</v>
          </cell>
          <cell r="C60">
            <v>884.48100000000011</v>
          </cell>
          <cell r="D60">
            <v>0</v>
          </cell>
          <cell r="E60">
            <v>35.962000000000003</v>
          </cell>
          <cell r="F60">
            <v>1E-3</v>
          </cell>
          <cell r="G60">
            <v>483.97700000000003</v>
          </cell>
          <cell r="H60">
            <v>364.54100000000005</v>
          </cell>
          <cell r="I60">
            <v>137.11500000000001</v>
          </cell>
          <cell r="J60">
            <v>0</v>
          </cell>
          <cell r="K60">
            <v>5.5750000000000002</v>
          </cell>
          <cell r="L60">
            <v>0</v>
          </cell>
          <cell r="M60">
            <v>75.03</v>
          </cell>
          <cell r="N60">
            <v>56.510000000000005</v>
          </cell>
          <cell r="O60">
            <v>6450.6509134667986</v>
          </cell>
          <cell r="P60">
            <v>100</v>
          </cell>
          <cell r="Q60">
            <v>0</v>
          </cell>
          <cell r="R60">
            <v>4.0658872265204113</v>
          </cell>
          <cell r="S60">
            <v>1.13060653648863E-4</v>
          </cell>
          <cell r="T60">
            <v>54.718755971015767</v>
          </cell>
          <cell r="U60">
            <v>41.21524374181017</v>
          </cell>
        </row>
      </sheetData>
      <sheetData sheetId="7" refreshError="1">
        <row r="8">
          <cell r="E8">
            <v>3</v>
          </cell>
          <cell r="F8">
            <v>4</v>
          </cell>
          <cell r="G8">
            <v>5</v>
          </cell>
          <cell r="H8">
            <v>6</v>
          </cell>
          <cell r="I8">
            <v>7</v>
          </cell>
        </row>
        <row r="9">
          <cell r="C9" t="str">
            <v>L1</v>
          </cell>
          <cell r="D9" t="str">
            <v>Сырье, основные материалы</v>
          </cell>
        </row>
        <row r="10">
          <cell r="C10" t="str">
            <v>L2</v>
          </cell>
          <cell r="D10" t="str">
            <v>Вспомогательные материалы</v>
          </cell>
          <cell r="E10">
            <v>10122</v>
          </cell>
          <cell r="F10">
            <v>20143</v>
          </cell>
          <cell r="G10">
            <v>16462</v>
          </cell>
          <cell r="H10">
            <v>16462</v>
          </cell>
          <cell r="I10">
            <v>24253.091516899996</v>
          </cell>
        </row>
        <row r="11">
          <cell r="C11" t="str">
            <v>L2.1</v>
          </cell>
          <cell r="D11" t="str">
            <v>Вспомогательные материалы на ремонт</v>
          </cell>
          <cell r="H11">
            <v>11523.4</v>
          </cell>
          <cell r="I11">
            <v>16977.164061829997</v>
          </cell>
        </row>
        <row r="12">
          <cell r="C12" t="str">
            <v>L3</v>
          </cell>
          <cell r="D12" t="str">
            <v>Работы и услуги производ. характера</v>
          </cell>
          <cell r="E12">
            <v>2820</v>
          </cell>
          <cell r="F12">
            <v>11126.392334408334</v>
          </cell>
          <cell r="G12">
            <v>6066</v>
          </cell>
          <cell r="H12">
            <v>6066</v>
          </cell>
          <cell r="I12">
            <v>10804.3</v>
          </cell>
        </row>
        <row r="13">
          <cell r="C13" t="str">
            <v>L3.1</v>
          </cell>
          <cell r="D13" t="str">
            <v>Работы и услуги производ. характера на ремонт</v>
          </cell>
          <cell r="H13">
            <v>4246.2</v>
          </cell>
          <cell r="I13">
            <v>7563.0099999999993</v>
          </cell>
        </row>
        <row r="14">
          <cell r="C14" t="str">
            <v>L4</v>
          </cell>
          <cell r="D14" t="str">
            <v>Топливо на технологические цели</v>
          </cell>
          <cell r="E14">
            <v>4813</v>
          </cell>
          <cell r="F14">
            <v>5708.9213709677415</v>
          </cell>
          <cell r="G14">
            <v>5625</v>
          </cell>
          <cell r="H14">
            <v>5625</v>
          </cell>
          <cell r="I14">
            <v>7257.4970000000003</v>
          </cell>
        </row>
        <row r="15">
          <cell r="C15" t="str">
            <v>L5</v>
          </cell>
          <cell r="D15" t="str">
            <v xml:space="preserve">Энергия </v>
          </cell>
          <cell r="E15">
            <v>970692</v>
          </cell>
          <cell r="F15">
            <v>948021</v>
          </cell>
          <cell r="G15">
            <v>1144968.29874</v>
          </cell>
          <cell r="H15">
            <v>1280770.9454400002</v>
          </cell>
          <cell r="I15">
            <v>1397974.4205</v>
          </cell>
        </row>
        <row r="16">
          <cell r="C16" t="str">
            <v>L5.1</v>
          </cell>
          <cell r="D16" t="str">
            <v>Энергия на технологические цели (покупная энергия)</v>
          </cell>
          <cell r="E16">
            <v>-1136988.0000000005</v>
          </cell>
          <cell r="F16">
            <v>-473609.16000000015</v>
          </cell>
          <cell r="G16">
            <v>1143561.17484</v>
          </cell>
          <cell r="H16">
            <v>1279147.0834800003</v>
          </cell>
          <cell r="I16">
            <v>1396121.1456822001</v>
          </cell>
        </row>
        <row r="17">
          <cell r="C17" t="str">
            <v>L5.2</v>
          </cell>
          <cell r="D17" t="str">
            <v>Энергия на хозяйственные нужды</v>
          </cell>
          <cell r="E17">
            <v>2107680.0000000005</v>
          </cell>
          <cell r="F17">
            <v>1421630.1600000001</v>
          </cell>
          <cell r="G17">
            <v>1407.1238999999998</v>
          </cell>
          <cell r="H17">
            <v>1623.86196</v>
          </cell>
          <cell r="I17">
            <v>1853.2748177999999</v>
          </cell>
        </row>
        <row r="18">
          <cell r="C18" t="str">
            <v>L6</v>
          </cell>
          <cell r="D18" t="str">
            <v>Затраты на оплату труда</v>
          </cell>
          <cell r="E18">
            <v>38328.000399354954</v>
          </cell>
          <cell r="F18">
            <v>40997.003632821783</v>
          </cell>
          <cell r="G18">
            <v>40052.003799809929</v>
          </cell>
          <cell r="H18">
            <v>55727.658411310091</v>
          </cell>
          <cell r="I18">
            <v>68029.59002249995</v>
          </cell>
        </row>
        <row r="19">
          <cell r="C19" t="str">
            <v>L6.1</v>
          </cell>
          <cell r="D19" t="str">
            <v>Затраты на оплату труда на ремонт</v>
          </cell>
        </row>
        <row r="20">
          <cell r="C20" t="str">
            <v>L7</v>
          </cell>
          <cell r="D20" t="str">
            <v>Отчисления на социальные нужды</v>
          </cell>
          <cell r="E20">
            <v>10119</v>
          </cell>
          <cell r="F20">
            <v>11740.843152330885</v>
          </cell>
          <cell r="G20">
            <v>11888</v>
          </cell>
          <cell r="H20">
            <v>14771.53</v>
          </cell>
          <cell r="I20">
            <v>18032.37135466667</v>
          </cell>
        </row>
        <row r="21">
          <cell r="C21" t="str">
            <v>L7.1</v>
          </cell>
          <cell r="D21" t="str">
            <v>Отчисления на социальные нужды на ремонт</v>
          </cell>
        </row>
        <row r="22">
          <cell r="C22" t="str">
            <v>L8</v>
          </cell>
          <cell r="D22" t="str">
            <v>Амортизация основных фондов</v>
          </cell>
          <cell r="E22">
            <v>14500</v>
          </cell>
          <cell r="F22">
            <v>13832</v>
          </cell>
          <cell r="G22">
            <v>8007.2899291812919</v>
          </cell>
          <cell r="H22">
            <v>3590.3</v>
          </cell>
          <cell r="I22">
            <v>4027.0227332410809</v>
          </cell>
        </row>
        <row r="23">
          <cell r="C23" t="str">
            <v>L9</v>
          </cell>
          <cell r="D23" t="str">
            <v>Прочие затраты всего</v>
          </cell>
          <cell r="E23">
            <v>51612.21</v>
          </cell>
          <cell r="F23">
            <v>26758.03</v>
          </cell>
          <cell r="G23">
            <v>16702.366271008927</v>
          </cell>
          <cell r="H23" t="e">
            <v>#REF!</v>
          </cell>
          <cell r="I23" t="e">
            <v>#REF!</v>
          </cell>
        </row>
        <row r="25">
          <cell r="C25" t="str">
            <v>L9.1</v>
          </cell>
          <cell r="D25" t="str">
            <v>Целевые средства на НИОКР</v>
          </cell>
          <cell r="I25">
            <v>0</v>
          </cell>
        </row>
        <row r="26">
          <cell r="C26" t="str">
            <v>L9.2</v>
          </cell>
          <cell r="D26" t="str">
            <v>Средства на страхование</v>
          </cell>
          <cell r="E26">
            <v>890</v>
          </cell>
          <cell r="F26">
            <v>4396</v>
          </cell>
          <cell r="G26">
            <v>529</v>
          </cell>
          <cell r="H26">
            <v>3811</v>
          </cell>
          <cell r="I26">
            <v>3710.0727090999999</v>
          </cell>
        </row>
        <row r="27">
          <cell r="C27" t="str">
            <v>L9.3</v>
          </cell>
          <cell r="D27" t="str">
            <v>Плата за предельно допустимые выбросы (сбросы)</v>
          </cell>
          <cell r="E27">
            <v>135</v>
          </cell>
          <cell r="F27">
            <v>19</v>
          </cell>
          <cell r="G27">
            <v>37</v>
          </cell>
          <cell r="H27">
            <v>0</v>
          </cell>
          <cell r="I27">
            <v>0</v>
          </cell>
        </row>
        <row r="28">
          <cell r="C28" t="str">
            <v>L9.4</v>
          </cell>
          <cell r="D28" t="str">
            <v>Услуги ФСК</v>
          </cell>
        </row>
        <row r="29">
          <cell r="C29" t="str">
            <v>L9.5</v>
          </cell>
          <cell r="D29" t="str">
            <v>Отчисления в ремонтный фонд (в случае его формирования)</v>
          </cell>
        </row>
        <row r="30">
          <cell r="C30" t="str">
            <v>L9.6</v>
          </cell>
          <cell r="D30" t="str">
            <v>Водный налог (ГЭС)</v>
          </cell>
        </row>
        <row r="31">
          <cell r="C31" t="str">
            <v>L9.7</v>
          </cell>
          <cell r="D31" t="str">
            <v>Непроизводственные расходы (налоги и другие обязательные платежи и сборы)</v>
          </cell>
          <cell r="E31">
            <v>1285</v>
          </cell>
          <cell r="F31">
            <v>1508</v>
          </cell>
          <cell r="G31">
            <v>1234</v>
          </cell>
          <cell r="H31">
            <v>114</v>
          </cell>
          <cell r="I31">
            <v>14.882630000000001</v>
          </cell>
        </row>
        <row r="32">
          <cell r="C32" t="str">
            <v>L9.7.1</v>
          </cell>
          <cell r="D32" t="str">
            <v>Налог на землю</v>
          </cell>
          <cell r="E32">
            <v>1150</v>
          </cell>
          <cell r="F32">
            <v>1346</v>
          </cell>
          <cell r="G32">
            <v>1175</v>
          </cell>
          <cell r="H32">
            <v>0</v>
          </cell>
          <cell r="I32">
            <v>0</v>
          </cell>
        </row>
        <row r="33">
          <cell r="C33" t="str">
            <v>L9.7.2</v>
          </cell>
          <cell r="D33" t="str">
            <v>Транспортный налог</v>
          </cell>
          <cell r="E33">
            <v>135</v>
          </cell>
          <cell r="F33">
            <v>162</v>
          </cell>
          <cell r="G33">
            <v>59</v>
          </cell>
          <cell r="H33">
            <v>114</v>
          </cell>
          <cell r="I33">
            <v>14.882630000000001</v>
          </cell>
        </row>
        <row r="34">
          <cell r="C34" t="str">
            <v>L9.8</v>
          </cell>
          <cell r="D34" t="str">
            <v>Другие затраты, относимые на себестоимость продукции, всего</v>
          </cell>
          <cell r="E34">
            <v>49302.21</v>
          </cell>
          <cell r="F34">
            <v>20835.03</v>
          </cell>
          <cell r="G34">
            <v>14902.366271008925</v>
          </cell>
          <cell r="H34" t="e">
            <v>#REF!</v>
          </cell>
          <cell r="I34" t="e">
            <v>#REF!</v>
          </cell>
        </row>
        <row r="35">
          <cell r="C35" t="str">
            <v>L9.8.1</v>
          </cell>
          <cell r="D35" t="str">
            <v>Другие затраты, относимые на себестоимость продукции, по видам затрат</v>
          </cell>
        </row>
        <row r="36">
          <cell r="B36" t="str">
            <v>Арендная плата</v>
          </cell>
        </row>
        <row r="37">
          <cell r="B37" t="str">
            <v>Прочие другие затраты</v>
          </cell>
        </row>
        <row r="38">
          <cell r="B38" t="str">
            <v>Услуги банка</v>
          </cell>
          <cell r="E38">
            <v>135</v>
          </cell>
          <cell r="F38">
            <v>445</v>
          </cell>
          <cell r="G38">
            <v>100</v>
          </cell>
          <cell r="H38">
            <v>385.39795000000004</v>
          </cell>
          <cell r="I38">
            <v>385.39795000000004</v>
          </cell>
        </row>
        <row r="39">
          <cell r="B39" t="str">
            <v>Услуги связи</v>
          </cell>
          <cell r="E39">
            <v>844</v>
          </cell>
          <cell r="F39">
            <v>1225</v>
          </cell>
          <cell r="G39">
            <v>1038</v>
          </cell>
          <cell r="H39">
            <v>1332.6775</v>
          </cell>
          <cell r="I39">
            <v>1831.3440000000001</v>
          </cell>
        </row>
        <row r="40">
          <cell r="B40" t="str">
            <v>Командирововчные расходы</v>
          </cell>
          <cell r="E40">
            <v>230</v>
          </cell>
          <cell r="F40">
            <v>385</v>
          </cell>
          <cell r="G40">
            <v>230</v>
          </cell>
          <cell r="H40">
            <v>950</v>
          </cell>
          <cell r="I40">
            <v>1780.932182</v>
          </cell>
        </row>
        <row r="41">
          <cell r="B41" t="str">
            <v>Расходы на обучение</v>
          </cell>
          <cell r="E41">
            <v>206</v>
          </cell>
          <cell r="F41">
            <v>75</v>
          </cell>
          <cell r="G41">
            <v>226</v>
          </cell>
          <cell r="H41">
            <v>296.7</v>
          </cell>
          <cell r="I41">
            <v>403.28300000000002</v>
          </cell>
        </row>
        <row r="42">
          <cell r="B42" t="str">
            <v>Охрана труда</v>
          </cell>
          <cell r="G42">
            <v>94</v>
          </cell>
          <cell r="H42">
            <v>98</v>
          </cell>
          <cell r="I42">
            <v>2693.4322000000002</v>
          </cell>
        </row>
        <row r="43">
          <cell r="B43" t="str">
            <v>Канцелярские расходы</v>
          </cell>
          <cell r="F43">
            <v>341</v>
          </cell>
          <cell r="G43">
            <v>184</v>
          </cell>
          <cell r="H43">
            <v>441.3</v>
          </cell>
          <cell r="I43">
            <v>961.8</v>
          </cell>
        </row>
        <row r="44">
          <cell r="B44" t="str">
            <v>Коммунальные услуги</v>
          </cell>
          <cell r="E44">
            <v>744</v>
          </cell>
          <cell r="F44">
            <v>1344</v>
          </cell>
          <cell r="G44">
            <v>1022</v>
          </cell>
          <cell r="H44">
            <v>1534.2105381220663</v>
          </cell>
          <cell r="I44">
            <v>1633.9342231000005</v>
          </cell>
        </row>
        <row r="45">
          <cell r="B45" t="str">
            <v>Вневедомственная охрана</v>
          </cell>
          <cell r="F45">
            <v>1393</v>
          </cell>
          <cell r="G45">
            <v>984</v>
          </cell>
          <cell r="H45">
            <v>1545.9699999999998</v>
          </cell>
          <cell r="I45">
            <v>2451.9084199999998</v>
          </cell>
        </row>
        <row r="46">
          <cell r="B46" t="str">
            <v>Аттестация рабочих мест</v>
          </cell>
          <cell r="G46">
            <v>312</v>
          </cell>
          <cell r="H46">
            <v>312</v>
          </cell>
          <cell r="I46">
            <v>0</v>
          </cell>
        </row>
        <row r="47">
          <cell r="B47" t="str">
            <v>Аудиторские услуги</v>
          </cell>
          <cell r="F47">
            <v>3525.4</v>
          </cell>
          <cell r="G47">
            <v>200</v>
          </cell>
          <cell r="H47">
            <v>6500</v>
          </cell>
          <cell r="I47">
            <v>1627.8961780575</v>
          </cell>
        </row>
        <row r="48">
          <cell r="B48" t="str">
            <v>Дебитрская задолженность</v>
          </cell>
          <cell r="G48">
            <v>46.2</v>
          </cell>
          <cell r="H48" t="e">
            <v>#REF!</v>
          </cell>
          <cell r="I48" t="e">
            <v>#REF!</v>
          </cell>
        </row>
        <row r="49">
          <cell r="B49" t="str">
            <v>Создание резерва по сомнительным долгам</v>
          </cell>
          <cell r="G49">
            <v>3126.6</v>
          </cell>
          <cell r="H49">
            <v>0</v>
          </cell>
          <cell r="I49">
            <v>0</v>
          </cell>
        </row>
        <row r="50">
          <cell r="B50" t="str">
            <v xml:space="preserve">прочие затраты  </v>
          </cell>
          <cell r="E50">
            <v>9883.73</v>
          </cell>
          <cell r="F50">
            <v>9929.6299999999992</v>
          </cell>
          <cell r="G50">
            <v>7339.5662710089255</v>
          </cell>
          <cell r="H50" t="e">
            <v>#REF!</v>
          </cell>
          <cell r="I50" t="e">
            <v>#REF!</v>
          </cell>
        </row>
        <row r="51">
          <cell r="B51" t="str">
            <v>Создание аварийного запаса</v>
          </cell>
          <cell r="G51">
            <v>0</v>
          </cell>
          <cell r="H51">
            <v>0</v>
          </cell>
          <cell r="I51" t="e">
            <v>#REF!</v>
          </cell>
        </row>
        <row r="52">
          <cell r="B52" t="str">
            <v>Экономические обоснгванные расходы неучтеные в тарифах предыдущих периодах регулирования</v>
          </cell>
          <cell r="G52">
            <v>0</v>
          </cell>
          <cell r="H52">
            <v>0</v>
          </cell>
          <cell r="I52" t="e">
            <v>#REF!</v>
          </cell>
        </row>
        <row r="53">
          <cell r="B53" t="str">
            <v>Переоценка ОПФ</v>
          </cell>
          <cell r="G53">
            <v>0</v>
          </cell>
          <cell r="H53">
            <v>0</v>
          </cell>
          <cell r="I53">
            <v>402.58749999999998</v>
          </cell>
        </row>
        <row r="54">
          <cell r="B54" t="str">
            <v>Поверка и ремонт счетчиков</v>
          </cell>
          <cell r="E54">
            <v>3097.7</v>
          </cell>
          <cell r="F54">
            <v>882</v>
          </cell>
        </row>
        <row r="55">
          <cell r="B55" t="str">
            <v>Оформление кадастровых дел по земельным участкам</v>
          </cell>
          <cell r="E55">
            <v>2521</v>
          </cell>
        </row>
        <row r="56">
          <cell r="B56" t="str">
            <v>Консультационные услуги</v>
          </cell>
          <cell r="F56">
            <v>1268</v>
          </cell>
          <cell r="G56">
            <v>0</v>
          </cell>
          <cell r="H56">
            <v>1600</v>
          </cell>
          <cell r="I56">
            <v>1865.1790000000001</v>
          </cell>
        </row>
        <row r="57">
          <cell r="B57" t="str">
            <v>Информационно-програмные услуги</v>
          </cell>
          <cell r="G57">
            <v>0</v>
          </cell>
          <cell r="H57">
            <v>450</v>
          </cell>
          <cell r="I57">
            <v>923.99582500000008</v>
          </cell>
        </row>
        <row r="58">
          <cell r="B58" t="str">
            <v>Литература, тех. документация</v>
          </cell>
          <cell r="F58">
            <v>22</v>
          </cell>
          <cell r="G58">
            <v>0</v>
          </cell>
          <cell r="H58">
            <v>25</v>
          </cell>
          <cell r="I58">
            <v>21.864000000000001</v>
          </cell>
        </row>
        <row r="59">
          <cell r="B59" t="str">
            <v>выполнение предписаний энергонадзора</v>
          </cell>
          <cell r="E59">
            <v>31640.78</v>
          </cell>
        </row>
        <row r="60">
          <cell r="B60" t="str">
            <v>налог на имущество</v>
          </cell>
          <cell r="H60">
            <v>0</v>
          </cell>
          <cell r="I60">
            <v>207.3</v>
          </cell>
        </row>
        <row r="62">
          <cell r="C62" t="str">
            <v>L10</v>
          </cell>
          <cell r="D62" t="str">
            <v>Итого затрат</v>
          </cell>
          <cell r="E62">
            <v>1103006.2103993548</v>
          </cell>
          <cell r="F62">
            <v>1078327.1904905287</v>
          </cell>
          <cell r="G62">
            <v>1249770.9587400001</v>
          </cell>
          <cell r="H62" t="e">
            <v>#REF!</v>
          </cell>
          <cell r="I62" t="e">
            <v>#REF!</v>
          </cell>
        </row>
        <row r="63">
          <cell r="C63" t="str">
            <v>L10.1</v>
          </cell>
          <cell r="D63" t="str">
            <v>Итого затрат на ремонт</v>
          </cell>
          <cell r="E63">
            <v>0</v>
          </cell>
          <cell r="F63">
            <v>0</v>
          </cell>
          <cell r="G63">
            <v>0</v>
          </cell>
          <cell r="H63">
            <v>15769.599999999999</v>
          </cell>
          <cell r="I63">
            <v>24540.174061829995</v>
          </cell>
        </row>
        <row r="64">
          <cell r="C64" t="str">
            <v>L11</v>
          </cell>
          <cell r="D64" t="str">
            <v>Недополученный по независящим причинам доход</v>
          </cell>
          <cell r="G64">
            <v>45.64</v>
          </cell>
          <cell r="I64">
            <v>145594</v>
          </cell>
        </row>
        <row r="65">
          <cell r="C65" t="str">
            <v>L12</v>
          </cell>
          <cell r="D65" t="str">
            <v>Избыток средств, полученный в предыдущем периоде регулирования</v>
          </cell>
          <cell r="E65">
            <v>23156</v>
          </cell>
          <cell r="G65">
            <v>23000</v>
          </cell>
          <cell r="I65">
            <v>0</v>
          </cell>
        </row>
        <row r="66">
          <cell r="C66" t="str">
            <v>L13</v>
          </cell>
          <cell r="D66" t="str">
            <v xml:space="preserve">Всего себестоимость товарной продукции </v>
          </cell>
          <cell r="E66">
            <v>1079850.2103993548</v>
          </cell>
          <cell r="F66">
            <v>1078327.1904905287</v>
          </cell>
          <cell r="G66">
            <v>1226816.59874</v>
          </cell>
          <cell r="H66" t="e">
            <v>#REF!</v>
          </cell>
          <cell r="I66" t="e">
            <v>#REF!</v>
          </cell>
        </row>
        <row r="67">
          <cell r="D67" t="str">
            <v xml:space="preserve">    в том числе:</v>
          </cell>
        </row>
        <row r="68">
          <cell r="C68" t="str">
            <v>L13.1</v>
          </cell>
          <cell r="D68" t="str">
            <v xml:space="preserve"> - электрическая энергия</v>
          </cell>
        </row>
        <row r="69">
          <cell r="C69" t="str">
            <v>L13.1.1</v>
          </cell>
          <cell r="D69" t="str">
            <v>производство электроэнергии</v>
          </cell>
        </row>
        <row r="70">
          <cell r="C70" t="str">
            <v>L13.1.2</v>
          </cell>
          <cell r="D70" t="str">
            <v>покупная электроэнергия</v>
          </cell>
        </row>
        <row r="71">
          <cell r="C71" t="str">
            <v>L13.1.3</v>
          </cell>
          <cell r="D71" t="str">
            <v>Всего себестоимость товарной продукции - передача электроэнергии</v>
          </cell>
          <cell r="E71">
            <v>1079850.2103993548</v>
          </cell>
          <cell r="F71">
            <v>1078327.1904905287</v>
          </cell>
          <cell r="G71">
            <v>1226816.59874</v>
          </cell>
          <cell r="H71" t="e">
            <v>#REF!</v>
          </cell>
          <cell r="I71" t="e">
            <v>#REF!</v>
          </cell>
        </row>
        <row r="72">
          <cell r="C72" t="str">
            <v>L13.2</v>
          </cell>
          <cell r="D72" t="str">
            <v xml:space="preserve"> - тепловая энергия</v>
          </cell>
        </row>
        <row r="73">
          <cell r="C73" t="str">
            <v>L13.2.1</v>
          </cell>
          <cell r="D73" t="str">
            <v>производство теплоэнергии</v>
          </cell>
        </row>
        <row r="74">
          <cell r="C74" t="str">
            <v>L13.2.3</v>
          </cell>
          <cell r="D74" t="str">
            <v>передача теплоэнергии</v>
          </cell>
        </row>
        <row r="75">
          <cell r="C75" t="str">
            <v>L13.3</v>
          </cell>
          <cell r="D75" t="str">
            <v xml:space="preserve"> - прочие виды продукции (услуг)</v>
          </cell>
        </row>
      </sheetData>
      <sheetData sheetId="8" refreshError="1">
        <row r="6">
          <cell r="G6">
            <v>4</v>
          </cell>
          <cell r="H6">
            <v>5</v>
          </cell>
          <cell r="I6">
            <v>6</v>
          </cell>
          <cell r="J6">
            <v>7</v>
          </cell>
          <cell r="K6">
            <v>8</v>
          </cell>
        </row>
        <row r="7">
          <cell r="D7" t="str">
            <v>L1</v>
          </cell>
          <cell r="E7" t="str">
            <v>ЧЕЛ</v>
          </cell>
          <cell r="F7" t="str">
            <v>Численность</v>
          </cell>
          <cell r="G7">
            <v>407</v>
          </cell>
          <cell r="H7">
            <v>445</v>
          </cell>
          <cell r="I7">
            <v>407</v>
          </cell>
          <cell r="J7">
            <v>485</v>
          </cell>
          <cell r="K7">
            <v>468.37609125317357</v>
          </cell>
        </row>
        <row r="8">
          <cell r="D8" t="str">
            <v>L1.1</v>
          </cell>
          <cell r="F8" t="str">
            <v xml:space="preserve">Численность ППП </v>
          </cell>
          <cell r="G8">
            <v>407</v>
          </cell>
          <cell r="H8">
            <v>445</v>
          </cell>
          <cell r="I8">
            <v>407</v>
          </cell>
          <cell r="J8">
            <v>485</v>
          </cell>
          <cell r="K8">
            <v>468.37609125317357</v>
          </cell>
        </row>
        <row r="9">
          <cell r="F9" t="str">
            <v>Средняя оплата труда</v>
          </cell>
        </row>
        <row r="10">
          <cell r="D10" t="str">
            <v>L2.1</v>
          </cell>
          <cell r="E10" t="str">
            <v>РУБ.ЧЕЛ.МЕС</v>
          </cell>
          <cell r="F10" t="str">
            <v>Тарифная ставка рабочего 1-го разряда</v>
          </cell>
          <cell r="G10">
            <v>2604</v>
          </cell>
          <cell r="H10">
            <v>2604</v>
          </cell>
          <cell r="I10">
            <v>2890</v>
          </cell>
          <cell r="J10">
            <v>3160</v>
          </cell>
          <cell r="K10">
            <v>3400</v>
          </cell>
        </row>
        <row r="11">
          <cell r="D11" t="str">
            <v>L2.2</v>
          </cell>
          <cell r="E11" t="str">
            <v>ЧСЛ</v>
          </cell>
          <cell r="F11" t="str">
            <v>Дефлятор по заработной плате</v>
          </cell>
          <cell r="G11">
            <v>1.085</v>
          </cell>
          <cell r="H11">
            <v>1.0620000000000001</v>
          </cell>
          <cell r="I11">
            <v>1.085</v>
          </cell>
          <cell r="J11">
            <v>1.0396000000000001</v>
          </cell>
          <cell r="K11">
            <v>1.0375000000000001</v>
          </cell>
        </row>
        <row r="12">
          <cell r="D12" t="str">
            <v>L2.3</v>
          </cell>
          <cell r="E12" t="str">
            <v>РУБ.ЧЕЛ.МЕС</v>
          </cell>
          <cell r="F12" t="str">
            <v>Тарифная ставка рабочего 1-го разряда с учетом дефлятора</v>
          </cell>
          <cell r="G12">
            <v>2825.3399999999997</v>
          </cell>
          <cell r="H12">
            <v>2765.4480000000003</v>
          </cell>
          <cell r="I12">
            <v>3135.65</v>
          </cell>
          <cell r="J12">
            <v>3285.1360000000004</v>
          </cell>
          <cell r="K12">
            <v>3527.5000000000005</v>
          </cell>
        </row>
        <row r="13">
          <cell r="D13" t="str">
            <v>L2.4</v>
          </cell>
          <cell r="E13" t="str">
            <v>ЧСЛ</v>
          </cell>
          <cell r="F13" t="str">
            <v>Средняя ступень по оплате труда</v>
          </cell>
          <cell r="G13">
            <v>4.93</v>
          </cell>
          <cell r="H13">
            <v>5.1269999999999998</v>
          </cell>
          <cell r="I13">
            <v>4.9000000000000004</v>
          </cell>
          <cell r="J13">
            <v>5.25</v>
          </cell>
          <cell r="K13">
            <v>5.3201280081399034</v>
          </cell>
        </row>
        <row r="14">
          <cell r="D14" t="str">
            <v>L2.5</v>
          </cell>
          <cell r="E14" t="str">
            <v>ЧСЛ</v>
          </cell>
          <cell r="F14" t="str">
            <v>Тарифный коэффициент соответствующий ступени по оплате труда</v>
          </cell>
          <cell r="G14">
            <v>1.5598118000000001</v>
          </cell>
          <cell r="H14">
            <v>1.6105084999999999</v>
          </cell>
          <cell r="I14">
            <v>1.5461704000000001</v>
          </cell>
          <cell r="J14">
            <v>1.62</v>
          </cell>
          <cell r="K14">
            <v>1.696632612396378</v>
          </cell>
        </row>
        <row r="15">
          <cell r="D15" t="str">
            <v>L2.6</v>
          </cell>
          <cell r="E15" t="str">
            <v>РУБ.ЧЕЛ.МЕС</v>
          </cell>
          <cell r="F15" t="str">
            <v xml:space="preserve">Среднемесячная тарифная ставка </v>
          </cell>
          <cell r="G15">
            <v>4406.9986710120002</v>
          </cell>
          <cell r="H15">
            <v>4453.7775103080003</v>
          </cell>
          <cell r="I15">
            <v>4848.2492147600005</v>
          </cell>
          <cell r="J15">
            <v>5321.9203200000011</v>
          </cell>
          <cell r="K15">
            <v>5984.8715402282241</v>
          </cell>
        </row>
        <row r="16">
          <cell r="F16" t="str">
            <v>Выплаты, связанные с режимом работы в условиями труда 1 работника</v>
          </cell>
        </row>
        <row r="17">
          <cell r="D17" t="str">
            <v>L2.7.1</v>
          </cell>
          <cell r="E17" t="str">
            <v>ПРЦ</v>
          </cell>
          <cell r="F17" t="str">
            <v>Выплаты, связанные с режимом работы в условиями труда 1 работника - процент выплат</v>
          </cell>
          <cell r="G17">
            <v>8.3940000000000001</v>
          </cell>
          <cell r="H17">
            <v>5.4</v>
          </cell>
          <cell r="I17">
            <v>5.3449999999999998</v>
          </cell>
          <cell r="J17">
            <v>6.6</v>
          </cell>
          <cell r="K17">
            <v>6.6</v>
          </cell>
        </row>
        <row r="18">
          <cell r="D18" t="str">
            <v>L2.7.2</v>
          </cell>
          <cell r="E18" t="str">
            <v>РУБ.ЧЕЛ.МЕС</v>
          </cell>
          <cell r="F18" t="str">
            <v>Выплаты, связанные с режимом работы в условиями труда 1 работника - сумма выплат</v>
          </cell>
          <cell r="G18">
            <v>369.92346844474724</v>
          </cell>
          <cell r="H18">
            <v>240.50398555663205</v>
          </cell>
          <cell r="I18">
            <v>259.13892052892203</v>
          </cell>
          <cell r="J18">
            <v>351.24674112000008</v>
          </cell>
          <cell r="K18">
            <v>395.00152165506273</v>
          </cell>
        </row>
        <row r="19">
          <cell r="F19" t="str">
            <v>Текущее премирование</v>
          </cell>
        </row>
        <row r="20">
          <cell r="D20" t="str">
            <v>L2.8.1</v>
          </cell>
          <cell r="E20" t="str">
            <v>ПРЦ</v>
          </cell>
          <cell r="F20" t="str">
            <v>Текущее премирование - процент выплат</v>
          </cell>
          <cell r="G20">
            <v>20</v>
          </cell>
          <cell r="H20">
            <v>21.8</v>
          </cell>
          <cell r="I20">
            <v>15</v>
          </cell>
          <cell r="J20">
            <v>20</v>
          </cell>
          <cell r="K20">
            <v>40</v>
          </cell>
        </row>
        <row r="21">
          <cell r="D21" t="str">
            <v>L2.8.2</v>
          </cell>
          <cell r="E21" t="str">
            <v>РУБ.ЧЕЛ.МЕС</v>
          </cell>
          <cell r="F21" t="str">
            <v>Текущее премирование - сумма выплат</v>
          </cell>
          <cell r="G21">
            <v>955.38442789134945</v>
          </cell>
          <cell r="H21">
            <v>1023.3533660984899</v>
          </cell>
          <cell r="I21">
            <v>766.10822029333838</v>
          </cell>
          <cell r="J21">
            <v>1134.6334122240003</v>
          </cell>
          <cell r="K21">
            <v>2551.9492247533144</v>
          </cell>
        </row>
        <row r="22">
          <cell r="F22" t="str">
            <v>Вознаграждение за выслугу лет</v>
          </cell>
        </row>
        <row r="23">
          <cell r="D23" t="str">
            <v>L2.9.1</v>
          </cell>
          <cell r="E23" t="str">
            <v>ПРЦ</v>
          </cell>
          <cell r="F23" t="str">
            <v>Вознаграждение за выслугу лет - процент выплат</v>
          </cell>
          <cell r="G23">
            <v>15</v>
          </cell>
          <cell r="H23">
            <v>22</v>
          </cell>
          <cell r="I23">
            <v>15</v>
          </cell>
          <cell r="J23">
            <v>19</v>
          </cell>
          <cell r="K23">
            <v>20</v>
          </cell>
        </row>
        <row r="24">
          <cell r="D24" t="str">
            <v>L2.9.2</v>
          </cell>
          <cell r="E24" t="str">
            <v>РУБ.ЧЕЛ.МЕС</v>
          </cell>
          <cell r="F24" t="str">
            <v>Вознаграждение за выслугу лет - сумма выплат</v>
          </cell>
          <cell r="G24">
            <v>661.04980065180007</v>
          </cell>
          <cell r="H24">
            <v>979.83105226776013</v>
          </cell>
          <cell r="I24">
            <v>727.23738221400015</v>
          </cell>
          <cell r="J24">
            <v>1011.1648608000002</v>
          </cell>
          <cell r="K24">
            <v>1196.9743080456449</v>
          </cell>
        </row>
        <row r="25">
          <cell r="F25" t="str">
            <v>Выплаты по итогам  года</v>
          </cell>
        </row>
        <row r="26">
          <cell r="D26" t="str">
            <v>L2.10.1</v>
          </cell>
          <cell r="E26" t="str">
            <v>ПРЦ</v>
          </cell>
          <cell r="F26" t="str">
            <v>Выплаты по итогам  года - процент выплат</v>
          </cell>
          <cell r="G26">
            <v>33</v>
          </cell>
          <cell r="H26">
            <v>22.000999999999902</v>
          </cell>
          <cell r="I26">
            <v>33</v>
          </cell>
          <cell r="J26">
            <v>33</v>
          </cell>
          <cell r="K26">
            <v>33</v>
          </cell>
        </row>
        <row r="27">
          <cell r="D27" t="str">
            <v>L2.10.2</v>
          </cell>
          <cell r="E27" t="str">
            <v>РУБ.ЧЕЛ.МЕС</v>
          </cell>
          <cell r="F27" t="str">
            <v>Выплаты по итогам  года- сумма выплат</v>
          </cell>
          <cell r="G27">
            <v>1454.30956143396</v>
          </cell>
          <cell r="H27">
            <v>979.87559004285879</v>
          </cell>
          <cell r="I27">
            <v>1599.9222408708001</v>
          </cell>
          <cell r="J27">
            <v>1756.2337056000003</v>
          </cell>
          <cell r="K27">
            <v>1975.0076082753139</v>
          </cell>
        </row>
        <row r="28">
          <cell r="F28" t="str">
            <v>Выплаты по  районному коэффициенту и северные надбавки</v>
          </cell>
        </row>
        <row r="29">
          <cell r="D29" t="str">
            <v>L2.11.1</v>
          </cell>
          <cell r="E29" t="str">
            <v>ПРЦ</v>
          </cell>
          <cell r="F29" t="str">
            <v>Выплаты по  районному коэффициенту и северные надбавки - процент выплат</v>
          </cell>
        </row>
        <row r="30">
          <cell r="D30" t="str">
            <v>L2.11.2</v>
          </cell>
          <cell r="E30" t="str">
            <v>РУБ.ЧЕЛ.МЕС</v>
          </cell>
          <cell r="F30" t="str">
            <v>Выплаты по  районному коэффициенту и северные надбавки - сумма выплат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 t="str">
            <v>L2.12</v>
          </cell>
          <cell r="E31" t="str">
            <v>РУБ.ЧЕЛ.МЕС</v>
          </cell>
          <cell r="F31" t="str">
            <v xml:space="preserve">Итого среднемесячная оплата труда на 1 работника                         </v>
          </cell>
          <cell r="G31">
            <v>7847.6659294338569</v>
          </cell>
          <cell r="H31">
            <v>7677.3415042737415</v>
          </cell>
          <cell r="I31">
            <v>8200.6559786670623</v>
          </cell>
          <cell r="J31">
            <v>9575.1990397440022</v>
          </cell>
          <cell r="K31">
            <v>12103.804202957559</v>
          </cell>
        </row>
        <row r="32">
          <cell r="F32" t="str">
            <v>Расчет средств на оплату труда ППП (включенного в себестоимость)</v>
          </cell>
        </row>
        <row r="33">
          <cell r="D33" t="str">
            <v>L3.1</v>
          </cell>
          <cell r="E33" t="str">
            <v>ТРУБ</v>
          </cell>
          <cell r="F33" t="str">
            <v>Льготный проезд к месту отдыха</v>
          </cell>
        </row>
        <row r="34">
          <cell r="D34" t="str">
            <v>L3.2</v>
          </cell>
          <cell r="E34" t="str">
            <v>ТРУБ</v>
          </cell>
          <cell r="F34" t="str">
            <v xml:space="preserve">По постановлению от 3.11.94г.№1206 </v>
          </cell>
        </row>
        <row r="35">
          <cell r="D35" t="str">
            <v>L3.3</v>
          </cell>
          <cell r="E35" t="str">
            <v>ТРУБ</v>
          </cell>
          <cell r="F35" t="str">
            <v xml:space="preserve">Итого средства на оплату труда ППП </v>
          </cell>
          <cell r="G35">
            <v>38328.000399354954</v>
          </cell>
          <cell r="H35">
            <v>40997.003632821783</v>
          </cell>
          <cell r="I35">
            <v>40052.003799809929</v>
          </cell>
          <cell r="J35">
            <v>55727.658411310091</v>
          </cell>
          <cell r="K35">
            <v>68029.59002249995</v>
          </cell>
        </row>
        <row r="36">
          <cell r="F36" t="str">
            <v>Расчет средств на оплату труда непромышленного персонала (включенного в балансовую прибыль)</v>
          </cell>
        </row>
        <row r="37">
          <cell r="D37" t="str">
            <v>L4.1</v>
          </cell>
          <cell r="E37" t="str">
            <v>ЧЕЛ</v>
          </cell>
          <cell r="F37" t="str">
            <v>Численность, принятая для расчета (базовый период - фактическая)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D38" t="str">
            <v>L4.2</v>
          </cell>
          <cell r="E38" t="str">
            <v>РУБ.ЧЕЛ.МЕС</v>
          </cell>
          <cell r="F38" t="str">
            <v>Среднемесячная оплата труда на 1 работника</v>
          </cell>
        </row>
        <row r="39">
          <cell r="D39" t="str">
            <v>L4.3</v>
          </cell>
          <cell r="E39" t="str">
            <v>ТРУБ</v>
          </cell>
          <cell r="F39" t="str">
            <v>Льготный проезд к месту отдыха</v>
          </cell>
        </row>
        <row r="40">
          <cell r="D40" t="str">
            <v>L4.4</v>
          </cell>
          <cell r="E40" t="str">
            <v>ТРУБ</v>
          </cell>
          <cell r="F40" t="str">
            <v>По постановлению от 03.11.94 г. №1206</v>
          </cell>
        </row>
        <row r="41">
          <cell r="D41" t="str">
            <v>L4.5</v>
          </cell>
          <cell r="E41" t="str">
            <v>ТРУБ</v>
          </cell>
          <cell r="F41" t="str">
            <v>Итого средства на оплату труда непромышленного персонала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F42" t="str">
            <v>Расчет по денежным выплатам</v>
          </cell>
        </row>
        <row r="43">
          <cell r="D43" t="str">
            <v>L5.1</v>
          </cell>
          <cell r="E43" t="str">
            <v>ЧЕЛ</v>
          </cell>
          <cell r="F43" t="str">
            <v>Численность всего, принятая для расчета (базовый период - фактическая)</v>
          </cell>
          <cell r="G43">
            <v>407</v>
          </cell>
          <cell r="H43">
            <v>445</v>
          </cell>
          <cell r="I43">
            <v>407</v>
          </cell>
          <cell r="J43">
            <v>485</v>
          </cell>
          <cell r="K43">
            <v>468.37609125317357</v>
          </cell>
        </row>
        <row r="44">
          <cell r="D44" t="str">
            <v>L5.2</v>
          </cell>
          <cell r="E44" t="str">
            <v>РУБ.ЧЕЛ.МЕС</v>
          </cell>
          <cell r="F44" t="str">
            <v>Денежные выплаты на 1 работника</v>
          </cell>
        </row>
        <row r="45">
          <cell r="D45" t="str">
            <v>L5.3</v>
          </cell>
          <cell r="E45" t="str">
            <v>ТРУБ</v>
          </cell>
          <cell r="F45" t="str">
            <v>Итого по денежным выплатам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D46" t="str">
            <v>L6</v>
          </cell>
          <cell r="E46" t="str">
            <v>ТРУБ</v>
          </cell>
          <cell r="F46" t="str">
            <v>Итого средства на потребление</v>
          </cell>
          <cell r="G46">
            <v>38328.000399354954</v>
          </cell>
          <cell r="H46">
            <v>40997.003632821783</v>
          </cell>
          <cell r="I46">
            <v>40052.003799809929</v>
          </cell>
          <cell r="J46">
            <v>55727.658411310091</v>
          </cell>
          <cell r="K46">
            <v>68029.59002249995</v>
          </cell>
        </row>
        <row r="47">
          <cell r="D47" t="str">
            <v>L7</v>
          </cell>
          <cell r="E47" t="str">
            <v>РУБ.ЧЕЛ.МЕС</v>
          </cell>
          <cell r="F47" t="str">
            <v>Среднемесячный доход на 1 работника</v>
          </cell>
          <cell r="G47">
            <v>7847.665929433856</v>
          </cell>
          <cell r="H47">
            <v>7677.3415042737424</v>
          </cell>
          <cell r="I47">
            <v>8200.6559786670623</v>
          </cell>
          <cell r="J47">
            <v>9575.1990397440022</v>
          </cell>
          <cell r="K47">
            <v>12103.804202957561</v>
          </cell>
        </row>
      </sheetData>
      <sheetData sheetId="9" refreshError="1">
        <row r="6"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</row>
        <row r="7">
          <cell r="B7" t="str">
            <v>Балансовая стоимость основных производственных фондов на начало периода регулирования</v>
          </cell>
          <cell r="C7" t="str">
            <v>L1</v>
          </cell>
          <cell r="D7">
            <v>479889</v>
          </cell>
          <cell r="E7">
            <v>556773</v>
          </cell>
          <cell r="F7">
            <v>312124.73849999998</v>
          </cell>
          <cell r="G7">
            <v>67476.476999999999</v>
          </cell>
          <cell r="H7">
            <v>74837.594389999998</v>
          </cell>
        </row>
        <row r="8">
          <cell r="B8" t="str">
            <v>Ввод основных производственных фондов</v>
          </cell>
          <cell r="C8" t="str">
            <v>L2</v>
          </cell>
          <cell r="D8">
            <v>29297</v>
          </cell>
          <cell r="E8">
            <v>39016</v>
          </cell>
          <cell r="F8">
            <v>20740.599999999999</v>
          </cell>
          <cell r="G8">
            <v>2465.1999999999998</v>
          </cell>
          <cell r="H8">
            <v>5250.4900000000007</v>
          </cell>
        </row>
        <row r="9">
          <cell r="B9" t="str">
            <v>Выбытие основных производственных фондов</v>
          </cell>
          <cell r="C9" t="str">
            <v>L3</v>
          </cell>
          <cell r="D9">
            <v>13226</v>
          </cell>
          <cell r="E9">
            <v>6354</v>
          </cell>
          <cell r="F9">
            <v>3177</v>
          </cell>
          <cell r="G9">
            <v>0</v>
          </cell>
          <cell r="H9">
            <v>0</v>
          </cell>
        </row>
        <row r="10">
          <cell r="B10" t="str">
            <v>Средняя стоимость основных производственных фондов</v>
          </cell>
          <cell r="C10" t="str">
            <v>L4</v>
          </cell>
          <cell r="D10">
            <v>489961</v>
          </cell>
          <cell r="E10">
            <v>573104</v>
          </cell>
          <cell r="F10">
            <v>320826.53849999997</v>
          </cell>
          <cell r="G10">
            <v>68709.077000000005</v>
          </cell>
          <cell r="H10">
            <v>76343.437476982974</v>
          </cell>
        </row>
        <row r="11">
          <cell r="B11" t="str">
            <v>Средняя норма амортизации</v>
          </cell>
          <cell r="C11" t="str">
            <v>L5</v>
          </cell>
          <cell r="D11">
            <v>2.9594192190807025</v>
          </cell>
          <cell r="E11">
            <v>2.4135235489544655</v>
          </cell>
          <cell r="F11">
            <v>2.4958315376959668</v>
          </cell>
          <cell r="G11">
            <v>5.2253649106652968</v>
          </cell>
          <cell r="H11">
            <v>5.2748774044333553</v>
          </cell>
        </row>
        <row r="12">
          <cell r="B12" t="str">
            <v>Сумма амортизационных отчислений</v>
          </cell>
          <cell r="C12" t="str">
            <v>L6</v>
          </cell>
          <cell r="D12">
            <v>14500</v>
          </cell>
          <cell r="E12">
            <v>13832</v>
          </cell>
          <cell r="F12">
            <v>8007.2899291812919</v>
          </cell>
          <cell r="G12">
            <v>3590.3</v>
          </cell>
          <cell r="H12">
            <v>4027.0227332410809</v>
          </cell>
        </row>
      </sheetData>
      <sheetData sheetId="10" refreshError="1">
        <row r="4">
          <cell r="D4" t="str">
            <v>стоимость на начало регулируемого периода</v>
          </cell>
          <cell r="E4" t="str">
            <v>Ввод основных производственных фондов</v>
          </cell>
          <cell r="F4" t="str">
            <v>Выбытие основных производственных фондов</v>
          </cell>
          <cell r="G4" t="str">
            <v xml:space="preserve">стоимость на конец регулируемого периода </v>
          </cell>
          <cell r="H4" t="str">
            <v xml:space="preserve">среднегодовая стоимость </v>
          </cell>
          <cell r="I4" t="str">
            <v>Амортизация</v>
          </cell>
        </row>
        <row r="5">
          <cell r="D5" t="str">
            <v>L3</v>
          </cell>
          <cell r="E5" t="str">
            <v>L4</v>
          </cell>
          <cell r="F5" t="str">
            <v>L5</v>
          </cell>
          <cell r="G5" t="str">
            <v>L6</v>
          </cell>
          <cell r="H5" t="str">
            <v>L7</v>
          </cell>
          <cell r="I5" t="str">
            <v>L8</v>
          </cell>
        </row>
        <row r="7">
          <cell r="B7" t="str">
            <v>Линии электропередач</v>
          </cell>
          <cell r="D7">
            <v>43587.413</v>
          </cell>
          <cell r="E7">
            <v>2297.29</v>
          </cell>
          <cell r="F7">
            <v>0</v>
          </cell>
          <cell r="G7">
            <v>45884.703000000001</v>
          </cell>
          <cell r="H7">
            <v>44736.058000000005</v>
          </cell>
          <cell r="I7">
            <v>2105.1206750000001</v>
          </cell>
        </row>
        <row r="8">
          <cell r="B8" t="str">
            <v>ВЛЭП</v>
          </cell>
          <cell r="D8">
            <v>18476.652999999998</v>
          </cell>
          <cell r="E8">
            <v>0</v>
          </cell>
          <cell r="F8">
            <v>0</v>
          </cell>
          <cell r="G8">
            <v>18476.652999999998</v>
          </cell>
          <cell r="H8">
            <v>18476.652999999998</v>
          </cell>
          <cell r="I8">
            <v>964.54347500000017</v>
          </cell>
        </row>
        <row r="9">
          <cell r="B9" t="str">
            <v>ВН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B10" t="str">
            <v>СН1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СН2</v>
          </cell>
          <cell r="D11">
            <v>3424.8560000000002</v>
          </cell>
          <cell r="E11">
            <v>0</v>
          </cell>
          <cell r="F11">
            <v>0</v>
          </cell>
          <cell r="G11">
            <v>3424.8560000000002</v>
          </cell>
          <cell r="H11">
            <v>3424.8560000000002</v>
          </cell>
          <cell r="I11">
            <v>163.49332500000003</v>
          </cell>
        </row>
        <row r="12">
          <cell r="B12" t="str">
            <v>НН</v>
          </cell>
          <cell r="D12">
            <v>15051.796999999999</v>
          </cell>
          <cell r="E12">
            <v>0</v>
          </cell>
          <cell r="F12">
            <v>0</v>
          </cell>
          <cell r="G12">
            <v>15051.796999999999</v>
          </cell>
          <cell r="H12">
            <v>15051.796999999999</v>
          </cell>
          <cell r="I12">
            <v>801.05015000000014</v>
          </cell>
        </row>
        <row r="13">
          <cell r="B13" t="str">
            <v>КЛЭП</v>
          </cell>
          <cell r="D13">
            <v>25110.760000000002</v>
          </cell>
          <cell r="E13">
            <v>2297.29</v>
          </cell>
          <cell r="F13">
            <v>0</v>
          </cell>
          <cell r="G13">
            <v>27408.050000000003</v>
          </cell>
          <cell r="H13">
            <v>26259.405000000002</v>
          </cell>
          <cell r="I13">
            <v>1140.5771999999999</v>
          </cell>
        </row>
        <row r="14">
          <cell r="B14" t="str">
            <v>ВН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 t="str">
            <v>СН1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СН2</v>
          </cell>
          <cell r="D16">
            <v>17993.334000000003</v>
          </cell>
          <cell r="E16">
            <v>0</v>
          </cell>
          <cell r="F16">
            <v>0</v>
          </cell>
          <cell r="G16">
            <v>17993.334000000003</v>
          </cell>
          <cell r="H16">
            <v>17993.334000000003</v>
          </cell>
          <cell r="I16">
            <v>724.17600000000004</v>
          </cell>
        </row>
        <row r="17">
          <cell r="B17" t="str">
            <v>НН</v>
          </cell>
          <cell r="D17">
            <v>7117.4259999999995</v>
          </cell>
          <cell r="E17">
            <v>2297.29</v>
          </cell>
          <cell r="F17">
            <v>0</v>
          </cell>
          <cell r="G17">
            <v>9414.7160000000003</v>
          </cell>
          <cell r="H17">
            <v>8266.0709999999999</v>
          </cell>
          <cell r="I17">
            <v>416.4011999999999</v>
          </cell>
        </row>
        <row r="18">
          <cell r="B18" t="str">
            <v>Подстанции</v>
          </cell>
          <cell r="D18">
            <v>21218.421000000006</v>
          </cell>
          <cell r="E18">
            <v>866.7</v>
          </cell>
          <cell r="F18">
            <v>0</v>
          </cell>
          <cell r="G18">
            <v>22085.121000000006</v>
          </cell>
          <cell r="H18">
            <v>21651.771000000008</v>
          </cell>
          <cell r="I18">
            <v>1108.1428250000001</v>
          </cell>
        </row>
        <row r="19">
          <cell r="B19" t="str">
            <v>ВН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</row>
        <row r="20">
          <cell r="B20" t="str">
            <v>СН1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B21" t="str">
            <v>СН2</v>
          </cell>
          <cell r="D21">
            <v>21218.421000000006</v>
          </cell>
          <cell r="E21">
            <v>866.7</v>
          </cell>
          <cell r="F21">
            <v>0</v>
          </cell>
          <cell r="G21">
            <v>22085.121000000006</v>
          </cell>
          <cell r="H21">
            <v>21651.771000000008</v>
          </cell>
          <cell r="I21">
            <v>1108.1428250000001</v>
          </cell>
        </row>
        <row r="22">
          <cell r="B22" t="str">
            <v>НН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</row>
        <row r="23">
          <cell r="B23" t="str">
            <v>Всего (стр. 1+стр.2)</v>
          </cell>
          <cell r="D23">
            <v>64805.834000000003</v>
          </cell>
          <cell r="E23">
            <v>3163.99</v>
          </cell>
          <cell r="F23">
            <v>0</v>
          </cell>
          <cell r="G23">
            <v>67969.824000000008</v>
          </cell>
          <cell r="H23">
            <v>66387.829000000012</v>
          </cell>
          <cell r="I23">
            <v>3213.2635</v>
          </cell>
        </row>
        <row r="24">
          <cell r="B24" t="str">
            <v>ВН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5">
          <cell r="B25" t="str">
            <v>СН1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B26" t="str">
            <v>СН2</v>
          </cell>
          <cell r="D26">
            <v>42636.611000000004</v>
          </cell>
          <cell r="E26">
            <v>866.7</v>
          </cell>
          <cell r="F26">
            <v>0</v>
          </cell>
          <cell r="G26">
            <v>43503.311000000009</v>
          </cell>
          <cell r="H26">
            <v>43069.96100000001</v>
          </cell>
          <cell r="I26">
            <v>1995.8121500000002</v>
          </cell>
        </row>
        <row r="27">
          <cell r="B27" t="str">
            <v>НН</v>
          </cell>
          <cell r="D27">
            <v>22169.222999999998</v>
          </cell>
          <cell r="E27">
            <v>2297.29</v>
          </cell>
          <cell r="F27">
            <v>0</v>
          </cell>
          <cell r="G27">
            <v>24466.512999999999</v>
          </cell>
          <cell r="H27">
            <v>23317.867999999999</v>
          </cell>
          <cell r="I27">
            <v>1217.45135</v>
          </cell>
        </row>
      </sheetData>
      <sheetData sheetId="11" refreshError="1">
        <row r="5">
          <cell r="F5">
            <v>3</v>
          </cell>
          <cell r="G5">
            <v>4</v>
          </cell>
          <cell r="H5">
            <v>5</v>
          </cell>
          <cell r="I5">
            <v>6</v>
          </cell>
          <cell r="J5">
            <v>7</v>
          </cell>
        </row>
        <row r="6">
          <cell r="C6" t="str">
            <v>L1</v>
          </cell>
          <cell r="D6" t="str">
            <v>ТРУБ</v>
          </cell>
          <cell r="E6" t="str">
            <v>Основная оплата труда производственных рабочих</v>
          </cell>
          <cell r="F6">
            <v>35645.040000000001</v>
          </cell>
          <cell r="G6">
            <v>38127.21</v>
          </cell>
          <cell r="H6">
            <v>37248.824999999997</v>
          </cell>
          <cell r="I6">
            <v>39009.326999999997</v>
          </cell>
          <cell r="J6">
            <v>47620.699000000001</v>
          </cell>
        </row>
        <row r="7">
          <cell r="C7" t="str">
            <v>L2</v>
          </cell>
          <cell r="E7" t="str">
            <v>Дополнительная оплата труда производственных рабочих</v>
          </cell>
          <cell r="F7">
            <v>2682.96</v>
          </cell>
          <cell r="G7">
            <v>2869.7900000000004</v>
          </cell>
          <cell r="H7">
            <v>2803.6750000000002</v>
          </cell>
          <cell r="I7">
            <v>2730.6528900000003</v>
          </cell>
          <cell r="J7">
            <v>3333.4489300000005</v>
          </cell>
        </row>
        <row r="8">
          <cell r="C8" t="str">
            <v>L3</v>
          </cell>
          <cell r="E8" t="str">
            <v>Отчисления на соц. нужды с оплаты производственных рабочих</v>
          </cell>
          <cell r="F8">
            <v>10119</v>
          </cell>
          <cell r="G8">
            <v>10443</v>
          </cell>
          <cell r="H8">
            <v>10573.86</v>
          </cell>
          <cell r="I8">
            <v>11063.877336176</v>
          </cell>
          <cell r="J8">
            <v>13506.246144645334</v>
          </cell>
        </row>
        <row r="9">
          <cell r="C9" t="str">
            <v>L4</v>
          </cell>
          <cell r="E9" t="str">
            <v>Расходы по содержание и эксплуатации оборудования</v>
          </cell>
          <cell r="F9">
            <v>14500</v>
          </cell>
          <cell r="G9">
            <v>13832</v>
          </cell>
          <cell r="H9">
            <v>14240</v>
          </cell>
          <cell r="I9">
            <v>17630</v>
          </cell>
          <cell r="J9">
            <v>20193.552500000002</v>
          </cell>
        </row>
        <row r="11">
          <cell r="C11" t="str">
            <v>L4.1</v>
          </cell>
          <cell r="E11" t="str">
            <v>Амортизация производственного оборудования</v>
          </cell>
          <cell r="F11">
            <v>14500</v>
          </cell>
          <cell r="G11">
            <v>13832</v>
          </cell>
          <cell r="H11">
            <v>14240</v>
          </cell>
          <cell r="I11">
            <v>2855.2</v>
          </cell>
          <cell r="J11">
            <v>3213.2635</v>
          </cell>
        </row>
        <row r="12">
          <cell r="C12" t="str">
            <v>L4.1.ВН</v>
          </cell>
          <cell r="E12" t="str">
            <v>Амортизация производственного оборудования - ВН</v>
          </cell>
          <cell r="I12">
            <v>0</v>
          </cell>
          <cell r="J12">
            <v>0</v>
          </cell>
        </row>
        <row r="13">
          <cell r="C13" t="str">
            <v>L4.1.СН1</v>
          </cell>
          <cell r="E13" t="str">
            <v>Амортизация производственного оборудования - СН1</v>
          </cell>
          <cell r="I13">
            <v>0</v>
          </cell>
          <cell r="J13">
            <v>0</v>
          </cell>
        </row>
        <row r="14">
          <cell r="C14" t="str">
            <v>L4.1.СН2</v>
          </cell>
          <cell r="E14" t="str">
            <v>Амортизация производственного оборудования - СН2</v>
          </cell>
          <cell r="F14">
            <v>6311.6791661300622</v>
          </cell>
          <cell r="G14">
            <v>6020.9066362697258</v>
          </cell>
          <cell r="H14">
            <v>6198.5042293580746</v>
          </cell>
          <cell r="I14">
            <v>1824.7449999999999</v>
          </cell>
          <cell r="J14">
            <v>1995.8121500000002</v>
          </cell>
        </row>
        <row r="15">
          <cell r="C15" t="str">
            <v>L4.1.НН</v>
          </cell>
          <cell r="E15" t="str">
            <v>Амортизация производственного оборудования - НН</v>
          </cell>
          <cell r="F15">
            <v>8188.3208338699378</v>
          </cell>
          <cell r="G15">
            <v>7811.0933637302742</v>
          </cell>
          <cell r="H15">
            <v>8041.4957706419254</v>
          </cell>
          <cell r="I15">
            <v>1030.4549999999999</v>
          </cell>
          <cell r="J15">
            <v>1217.45135</v>
          </cell>
        </row>
        <row r="16">
          <cell r="C16" t="str">
            <v>L4.2</v>
          </cell>
          <cell r="E16" t="str">
            <v>Ремонт основного оборудования</v>
          </cell>
        </row>
        <row r="17">
          <cell r="C17" t="str">
            <v>L4.3</v>
          </cell>
          <cell r="E17" t="str">
            <v>Другие расходы по содержанию и эксплуатации оборудования</v>
          </cell>
          <cell r="I17">
            <v>14774.8</v>
          </cell>
          <cell r="J17">
            <v>16980.289000000001</v>
          </cell>
        </row>
        <row r="18">
          <cell r="C18" t="str">
            <v>L5</v>
          </cell>
          <cell r="E18" t="str">
            <v>Расходы по подготовке и освоению производства (пусковые работы)</v>
          </cell>
        </row>
        <row r="19">
          <cell r="C19" t="str">
            <v>L6</v>
          </cell>
          <cell r="E19" t="str">
            <v>Цеховые расходы</v>
          </cell>
          <cell r="I19">
            <v>1279.25</v>
          </cell>
          <cell r="J19">
            <v>1407.175</v>
          </cell>
        </row>
        <row r="20">
          <cell r="C20" t="str">
            <v>L7</v>
          </cell>
          <cell r="E20" t="str">
            <v>Общехозяйственные расходы электрических сетей</v>
          </cell>
          <cell r="F20">
            <v>47141.289999999994</v>
          </cell>
          <cell r="G20">
            <v>57850.000000000015</v>
          </cell>
          <cell r="H20">
            <v>39996.300000000003</v>
          </cell>
          <cell r="I20">
            <v>143777.73584316947</v>
          </cell>
          <cell r="J20">
            <v>197247.94547868764</v>
          </cell>
        </row>
        <row r="22">
          <cell r="C22" t="str">
            <v>L7.1</v>
          </cell>
          <cell r="E22" t="str">
            <v>Целевые средства на НИОКР</v>
          </cell>
        </row>
        <row r="23">
          <cell r="C23" t="str">
            <v>L7.2</v>
          </cell>
          <cell r="E23" t="str">
            <v>Средства на страхование</v>
          </cell>
          <cell r="F23">
            <v>890</v>
          </cell>
          <cell r="G23">
            <v>4396</v>
          </cell>
          <cell r="H23">
            <v>529</v>
          </cell>
          <cell r="I23">
            <v>3811</v>
          </cell>
          <cell r="J23">
            <v>3710.0727090999999</v>
          </cell>
        </row>
        <row r="24">
          <cell r="C24" t="str">
            <v>L7.3</v>
          </cell>
          <cell r="E24" t="str">
            <v>Плата за предельно допустимые выбросы (сбросы) загрязняющих вещетв</v>
          </cell>
          <cell r="F24">
            <v>135</v>
          </cell>
          <cell r="G24">
            <v>19</v>
          </cell>
          <cell r="H24">
            <v>37</v>
          </cell>
          <cell r="I24">
            <v>0</v>
          </cell>
          <cell r="J24">
            <v>0</v>
          </cell>
        </row>
        <row r="25">
          <cell r="C25" t="str">
            <v>L7.4</v>
          </cell>
          <cell r="E25" t="str">
            <v>Отчисления в ремонтный фонд в случае его формирования</v>
          </cell>
          <cell r="I25">
            <v>0</v>
          </cell>
          <cell r="J25">
            <v>0</v>
          </cell>
        </row>
        <row r="26">
          <cell r="C26" t="str">
            <v>L7.5</v>
          </cell>
          <cell r="E26" t="str">
            <v>Непроизводственные расходы (налоги и другие обязательные платежи и сборы) всего</v>
          </cell>
          <cell r="F26">
            <v>8186</v>
          </cell>
          <cell r="G26">
            <v>8424</v>
          </cell>
          <cell r="H26">
            <v>8756</v>
          </cell>
          <cell r="I26">
            <v>8575</v>
          </cell>
          <cell r="J26">
            <v>9321.9826300000004</v>
          </cell>
        </row>
        <row r="27">
          <cell r="C27" t="str">
            <v>L7.5.1</v>
          </cell>
          <cell r="E27" t="str">
            <v>Непроизводственные расходы (налоги и другие обязательные платежи и сборы) по видам</v>
          </cell>
        </row>
        <row r="28">
          <cell r="F28">
            <v>1150</v>
          </cell>
          <cell r="G28">
            <v>1346</v>
          </cell>
          <cell r="H28">
            <v>1175</v>
          </cell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4">
          <cell r="F34">
            <v>135</v>
          </cell>
          <cell r="G34">
            <v>162</v>
          </cell>
          <cell r="H34">
            <v>59</v>
          </cell>
          <cell r="I34">
            <v>114</v>
          </cell>
          <cell r="J34">
            <v>14.882630000000001</v>
          </cell>
        </row>
        <row r="35">
          <cell r="I35">
            <v>0</v>
          </cell>
          <cell r="J35">
            <v>0</v>
          </cell>
        </row>
        <row r="36">
          <cell r="I36">
            <v>0</v>
          </cell>
          <cell r="J36">
            <v>0</v>
          </cell>
        </row>
        <row r="37">
          <cell r="F37">
            <v>6901</v>
          </cell>
          <cell r="G37">
            <v>6916</v>
          </cell>
          <cell r="H37">
            <v>7522</v>
          </cell>
          <cell r="I37">
            <v>8461</v>
          </cell>
          <cell r="J37">
            <v>9307.1</v>
          </cell>
        </row>
        <row r="39">
          <cell r="C39" t="str">
            <v>L7.6</v>
          </cell>
          <cell r="E39" t="str">
            <v>Другие затраты, относимые на себестоимость продукции всего</v>
          </cell>
          <cell r="F39">
            <v>37930.289999999994</v>
          </cell>
          <cell r="G39">
            <v>45011.000000000015</v>
          </cell>
          <cell r="H39">
            <v>30674.300000000003</v>
          </cell>
          <cell r="I39">
            <v>131391.73584316947</v>
          </cell>
          <cell r="J39">
            <v>184215.89013958763</v>
          </cell>
        </row>
        <row r="40">
          <cell r="C40" t="str">
            <v>L7.6.1</v>
          </cell>
          <cell r="E40" t="str">
            <v>Другие затраты, относимые на себестоимость продукции по видам расходов</v>
          </cell>
        </row>
        <row r="41">
          <cell r="I41">
            <v>80467.400009345787</v>
          </cell>
          <cell r="J41">
            <v>86100.118009999991</v>
          </cell>
        </row>
        <row r="45">
          <cell r="C45" t="str">
            <v>L7.7</v>
          </cell>
          <cell r="E45" t="str">
            <v>Плата ФСК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 t="str">
            <v xml:space="preserve">    в том числе:</v>
          </cell>
        </row>
        <row r="47">
          <cell r="C47" t="str">
            <v>L7.1.ВН</v>
          </cell>
          <cell r="E47" t="str">
            <v>Плата ФСК - ВН</v>
          </cell>
        </row>
        <row r="48">
          <cell r="C48" t="str">
            <v>L7.1.СН1</v>
          </cell>
          <cell r="E48" t="str">
            <v>Плата ФСК - СН1</v>
          </cell>
        </row>
        <row r="49">
          <cell r="C49" t="str">
            <v>L7.1.СН2</v>
          </cell>
          <cell r="E49" t="str">
            <v>Плата ФСК - СН2</v>
          </cell>
        </row>
        <row r="50">
          <cell r="C50" t="str">
            <v>L7.1.НН</v>
          </cell>
          <cell r="E50" t="str">
            <v>Плата ФСК - НН</v>
          </cell>
        </row>
        <row r="51">
          <cell r="C51" t="str">
            <v>L8</v>
          </cell>
          <cell r="E51" t="str">
            <v>Недополученный по независящим причинам доход</v>
          </cell>
          <cell r="H51">
            <v>45.6</v>
          </cell>
          <cell r="J51">
            <v>145594</v>
          </cell>
        </row>
        <row r="52">
          <cell r="C52" t="str">
            <v>L9</v>
          </cell>
          <cell r="E52" t="str">
            <v>Избыток средств, полученный в предыдущем периоде регулирования</v>
          </cell>
          <cell r="H52">
            <v>23000</v>
          </cell>
          <cell r="J52">
            <v>0</v>
          </cell>
        </row>
        <row r="53">
          <cell r="C53" t="str">
            <v>L10</v>
          </cell>
          <cell r="E53" t="str">
            <v xml:space="preserve">Итого производственные расходы </v>
          </cell>
          <cell r="F53">
            <v>110088.29</v>
          </cell>
          <cell r="G53">
            <v>123122.00000000001</v>
          </cell>
          <cell r="H53">
            <v>81908.260000000009</v>
          </cell>
          <cell r="I53">
            <v>215490.84306934546</v>
          </cell>
          <cell r="J53">
            <v>428903.06705333298</v>
          </cell>
        </row>
        <row r="54">
          <cell r="E54" t="str">
            <v xml:space="preserve">    в том числе:</v>
          </cell>
        </row>
        <row r="55">
          <cell r="C55" t="str">
            <v>L10.ВН</v>
          </cell>
          <cell r="E55" t="str">
            <v>Производственные расходы - ВН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C56" t="str">
            <v>L10.СН1</v>
          </cell>
          <cell r="E56" t="str">
            <v>Производственные расходы - СН1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C57" t="str">
            <v>L10.СН2</v>
          </cell>
          <cell r="E57" t="str">
            <v>Производственные расходы - СН2</v>
          </cell>
          <cell r="F57">
            <v>84458.492592793889</v>
          </cell>
          <cell r="G57">
            <v>95369.353390574994</v>
          </cell>
          <cell r="H57">
            <v>61519.704024092134</v>
          </cell>
          <cell r="I57">
            <v>175661.91613046819</v>
          </cell>
          <cell r="J57">
            <v>350012.30722398334</v>
          </cell>
        </row>
        <row r="58">
          <cell r="C58" t="str">
            <v>L10.НН</v>
          </cell>
          <cell r="E58" t="str">
            <v>Производственные расходы - НН</v>
          </cell>
          <cell r="F58">
            <v>25629.797407206097</v>
          </cell>
          <cell r="G58">
            <v>27752.646609425006</v>
          </cell>
          <cell r="H58">
            <v>20388.555975907868</v>
          </cell>
          <cell r="I58">
            <v>39828.926938877223</v>
          </cell>
          <cell r="J58">
            <v>78890.759829349612</v>
          </cell>
        </row>
        <row r="59">
          <cell r="C59" t="str">
            <v>L11</v>
          </cell>
          <cell r="D59" t="str">
            <v>МКВТЧ</v>
          </cell>
          <cell r="E59" t="str">
            <v>Полезный отпуск электроэнергии без отпуска с шин ТЭЦ</v>
          </cell>
          <cell r="F59">
            <v>814</v>
          </cell>
          <cell r="G59">
            <v>790.1321999999999</v>
          </cell>
          <cell r="H59">
            <v>829.8</v>
          </cell>
          <cell r="I59">
            <v>859.79800000000012</v>
          </cell>
          <cell r="J59">
            <v>884.48100000000011</v>
          </cell>
        </row>
        <row r="60">
          <cell r="C60" t="str">
            <v>L12</v>
          </cell>
          <cell r="D60" t="str">
            <v>РУБ.ТКВТЧ</v>
          </cell>
          <cell r="E60" t="str">
            <v>Себестоимость</v>
          </cell>
          <cell r="F60">
            <v>135.24359950859949</v>
          </cell>
          <cell r="G60">
            <v>155.824556953887</v>
          </cell>
          <cell r="H60">
            <v>98.708435767654876</v>
          </cell>
          <cell r="I60">
            <v>250.62961657196857</v>
          </cell>
          <cell r="J60">
            <v>484.92061113051938</v>
          </cell>
        </row>
        <row r="61">
          <cell r="C61" t="str">
            <v>L13</v>
          </cell>
          <cell r="D61" t="str">
            <v>ТРУБ</v>
          </cell>
          <cell r="E61" t="str">
            <v>Условно-постоянные затраты сетей</v>
          </cell>
          <cell r="F61">
            <v>110088.29</v>
          </cell>
          <cell r="G61">
            <v>123122.00000000001</v>
          </cell>
          <cell r="H61">
            <v>81908.260000000009</v>
          </cell>
          <cell r="I61">
            <v>215490.84306934546</v>
          </cell>
          <cell r="J61">
            <v>428903.06705333298</v>
          </cell>
        </row>
        <row r="63">
          <cell r="C63" t="str">
            <v>L13.1</v>
          </cell>
          <cell r="E63" t="str">
            <v>Сумма общехозяйственных расходов</v>
          </cell>
          <cell r="F63">
            <v>73452.05417360898</v>
          </cell>
          <cell r="G63">
            <v>82148.281292797692</v>
          </cell>
          <cell r="H63">
            <v>54650.044530495034</v>
          </cell>
          <cell r="I63">
            <v>143777.73584316947</v>
          </cell>
          <cell r="J63">
            <v>197247.94547868764</v>
          </cell>
        </row>
        <row r="64">
          <cell r="C64" t="str">
            <v>L14</v>
          </cell>
          <cell r="E64" t="str">
            <v>Услуги ФСК</v>
          </cell>
        </row>
      </sheetData>
      <sheetData sheetId="12" refreshError="1">
        <row r="6">
          <cell r="E6">
            <v>3</v>
          </cell>
          <cell r="F6">
            <v>4</v>
          </cell>
          <cell r="G6">
            <v>5</v>
          </cell>
          <cell r="H6">
            <v>6</v>
          </cell>
          <cell r="I6">
            <v>7</v>
          </cell>
        </row>
        <row r="7">
          <cell r="C7" t="str">
            <v>L1</v>
          </cell>
          <cell r="D7" t="str">
            <v>Объем капитальных вложений - всего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37969.86</v>
          </cell>
        </row>
        <row r="9">
          <cell r="C9" t="str">
            <v>L1.1</v>
          </cell>
          <cell r="D9" t="str">
            <v>Объем капитальных вложений - на производственное и научно-техническое развитие</v>
          </cell>
          <cell r="H9">
            <v>29996.920000000002</v>
          </cell>
          <cell r="I9">
            <v>55126.400000000001</v>
          </cell>
        </row>
        <row r="10">
          <cell r="C10" t="str">
            <v>L1.2</v>
          </cell>
          <cell r="D10" t="str">
            <v>Объем капитальных вложений - на непроизводственное развитие</v>
          </cell>
          <cell r="H10">
            <v>0</v>
          </cell>
          <cell r="I10">
            <v>0</v>
          </cell>
        </row>
        <row r="11">
          <cell r="C11" t="str">
            <v>L2</v>
          </cell>
          <cell r="D11" t="str">
            <v>Финансирование капитальных вложений из средств - всего</v>
          </cell>
          <cell r="E11">
            <v>14500</v>
          </cell>
          <cell r="F11">
            <v>13832</v>
          </cell>
          <cell r="G11">
            <v>8007.2899291812919</v>
          </cell>
          <cell r="H11" t="e">
            <v>#REF!</v>
          </cell>
          <cell r="I11" t="e">
            <v>#REF!</v>
          </cell>
        </row>
        <row r="13">
          <cell r="C13" t="str">
            <v>L2.1</v>
          </cell>
          <cell r="D13" t="str">
            <v xml:space="preserve">Амортизационных отчислений на полное восстановление основных фондов </v>
          </cell>
          <cell r="E13">
            <v>14500</v>
          </cell>
          <cell r="F13">
            <v>13832</v>
          </cell>
          <cell r="G13">
            <v>8007.2899291812919</v>
          </cell>
          <cell r="H13">
            <v>3590.3</v>
          </cell>
          <cell r="I13">
            <v>4027.0227332410809</v>
          </cell>
        </row>
        <row r="14">
          <cell r="C14" t="str">
            <v>L2.2</v>
          </cell>
          <cell r="D14" t="str">
            <v>Неиспользованных средств на начало года</v>
          </cell>
          <cell r="H14" t="e">
            <v>#REF!</v>
          </cell>
          <cell r="I14" t="e">
            <v>#REF!</v>
          </cell>
        </row>
        <row r="15">
          <cell r="C15" t="str">
            <v>L2.3</v>
          </cell>
          <cell r="D15" t="str">
            <v>Федерального бюджета</v>
          </cell>
          <cell r="H15">
            <v>0</v>
          </cell>
          <cell r="I15">
            <v>9816.8799999999974</v>
          </cell>
        </row>
        <row r="16">
          <cell r="C16" t="str">
            <v>L2.4</v>
          </cell>
          <cell r="D16" t="str">
            <v>Республиканского бюджета</v>
          </cell>
          <cell r="H16">
            <v>0</v>
          </cell>
          <cell r="I16">
            <v>0</v>
          </cell>
        </row>
        <row r="17">
          <cell r="C17" t="str">
            <v>L2.5</v>
          </cell>
          <cell r="D17" t="str">
            <v xml:space="preserve">Регионального (республиканского, краевого, областного) бюждета </v>
          </cell>
          <cell r="H17">
            <v>0</v>
          </cell>
          <cell r="I17">
            <v>0</v>
          </cell>
        </row>
        <row r="18">
          <cell r="C18" t="str">
            <v>L2.6</v>
          </cell>
          <cell r="D18" t="str">
            <v xml:space="preserve">Прочих </v>
          </cell>
          <cell r="H18">
            <v>0</v>
          </cell>
          <cell r="I18">
            <v>0</v>
          </cell>
        </row>
        <row r="19">
          <cell r="C19" t="str">
            <v>L2.7</v>
          </cell>
          <cell r="D19" t="str">
            <v>Средства, полученные от реализации ценных бумаг</v>
          </cell>
          <cell r="H19">
            <v>26406.620000000003</v>
          </cell>
          <cell r="I19">
            <v>36223.5</v>
          </cell>
        </row>
        <row r="20">
          <cell r="C20" t="str">
            <v>L2.8</v>
          </cell>
          <cell r="D20" t="str">
            <v>Кредитные средства</v>
          </cell>
          <cell r="H20">
            <v>0</v>
          </cell>
          <cell r="I20">
            <v>0</v>
          </cell>
        </row>
        <row r="21">
          <cell r="C21" t="str">
            <v>L2.9</v>
          </cell>
          <cell r="D21" t="str">
            <v>Итого источники кап. Вложений</v>
          </cell>
          <cell r="E21">
            <v>14500</v>
          </cell>
          <cell r="F21">
            <v>13832</v>
          </cell>
          <cell r="G21">
            <v>8007.2899291812919</v>
          </cell>
          <cell r="H21" t="e">
            <v>#REF!</v>
          </cell>
          <cell r="I21" t="e">
            <v>#REF!</v>
          </cell>
        </row>
        <row r="22">
          <cell r="C22" t="str">
            <v>L2.10</v>
          </cell>
          <cell r="D22" t="str">
            <v>Капвложения из прибыли</v>
          </cell>
          <cell r="E22">
            <v>0</v>
          </cell>
          <cell r="F22">
            <v>0</v>
          </cell>
          <cell r="G22">
            <v>0</v>
          </cell>
          <cell r="H22" t="e">
            <v>#REF!</v>
          </cell>
          <cell r="I22" t="e">
            <v>#REF!</v>
          </cell>
        </row>
        <row r="23">
          <cell r="D23" t="str">
            <v xml:space="preserve"> - отнесенная на производство электрической энергии</v>
          </cell>
        </row>
        <row r="24">
          <cell r="C24" t="str">
            <v>L2.10.2</v>
          </cell>
          <cell r="D24" t="str">
            <v>Прибыль отнесенная на передачу электрической энергии</v>
          </cell>
          <cell r="E24">
            <v>0</v>
          </cell>
          <cell r="F24">
            <v>0</v>
          </cell>
          <cell r="G24">
            <v>0</v>
          </cell>
          <cell r="H24" t="e">
            <v>#REF!</v>
          </cell>
          <cell r="I24" t="e">
            <v>#REF!</v>
          </cell>
        </row>
        <row r="25">
          <cell r="D25" t="str">
            <v xml:space="preserve"> - отнесенная на производство тепловой энергии</v>
          </cell>
        </row>
        <row r="26">
          <cell r="D26" t="str">
            <v xml:space="preserve"> - отнесенная на передачу тепловой энергии</v>
          </cell>
        </row>
      </sheetData>
      <sheetData sheetId="13" refreshError="1">
        <row r="6">
          <cell r="B6">
            <v>2</v>
          </cell>
          <cell r="C6">
            <v>3</v>
          </cell>
          <cell r="D6">
            <v>4</v>
          </cell>
          <cell r="E6">
            <v>5</v>
          </cell>
          <cell r="F6">
            <v>6</v>
          </cell>
          <cell r="G6">
            <v>7</v>
          </cell>
          <cell r="H6">
            <v>8</v>
          </cell>
          <cell r="I6">
            <v>9</v>
          </cell>
          <cell r="J6">
            <v>10</v>
          </cell>
          <cell r="K6">
            <v>11</v>
          </cell>
        </row>
        <row r="8">
          <cell r="A8" t="str">
            <v>Реконструкция ВЛ -6кВ (провод СИП)</v>
          </cell>
          <cell r="J8">
            <v>17399.52</v>
          </cell>
          <cell r="K8">
            <v>0</v>
          </cell>
        </row>
        <row r="9">
          <cell r="A9" t="str">
            <v>Реконструкция  ВЛ 0,4 кВ</v>
          </cell>
          <cell r="J9">
            <v>5009.7149999999992</v>
          </cell>
          <cell r="K9">
            <v>0</v>
          </cell>
        </row>
        <row r="10">
          <cell r="A10" t="str">
            <v xml:space="preserve">Реконструкция КЛ 6-10 кВ </v>
          </cell>
          <cell r="J10">
            <v>2200.5250000000001</v>
          </cell>
          <cell r="K10">
            <v>0</v>
          </cell>
        </row>
        <row r="11">
          <cell r="A11" t="str">
            <v xml:space="preserve">Реконструкция КЛ 6-10 кВ </v>
          </cell>
          <cell r="J11">
            <v>0</v>
          </cell>
          <cell r="K11">
            <v>0</v>
          </cell>
        </row>
        <row r="12">
          <cell r="A12" t="str">
            <v>Реконструкция КЛ- 04 кВ</v>
          </cell>
          <cell r="J12">
            <v>4945</v>
          </cell>
          <cell r="K12">
            <v>0</v>
          </cell>
        </row>
        <row r="13">
          <cell r="A13" t="str">
            <v>Реконструкция КТП</v>
          </cell>
          <cell r="J13">
            <v>900.84999999999991</v>
          </cell>
          <cell r="K13">
            <v>0</v>
          </cell>
        </row>
        <row r="14">
          <cell r="A14" t="str">
            <v>Замена оборудования в РП-7 и  ЦРП</v>
          </cell>
          <cell r="J14">
            <v>1451.25</v>
          </cell>
          <cell r="K14">
            <v>0</v>
          </cell>
        </row>
        <row r="15">
          <cell r="A15" t="str">
            <v>Строительство водопровода и канализации по ул Гризодубовой</v>
          </cell>
          <cell r="J15">
            <v>0</v>
          </cell>
          <cell r="K15">
            <v>0</v>
          </cell>
        </row>
        <row r="16">
          <cell r="A16" t="str">
            <v>Организация въезда с ул. Мира на улицу Гризодубовой</v>
          </cell>
          <cell r="J16">
            <v>0</v>
          </cell>
          <cell r="K16">
            <v>0</v>
          </cell>
        </row>
        <row r="17">
          <cell r="A17" t="str">
            <v>Проектноизыскательские работы</v>
          </cell>
          <cell r="J17">
            <v>0</v>
          </cell>
          <cell r="K17">
            <v>0</v>
          </cell>
        </row>
        <row r="18">
          <cell r="A18" t="str">
            <v>Оборудование для измерения в сетях (установка пиборов учета в ТП, внедрение АСКУЭ)</v>
          </cell>
          <cell r="J18">
            <v>0</v>
          </cell>
          <cell r="K18">
            <v>0</v>
          </cell>
        </row>
        <row r="19">
          <cell r="A19" t="str">
            <v>Оборудование не требующее монтажа</v>
          </cell>
          <cell r="J19">
            <v>0</v>
          </cell>
          <cell r="K19">
            <v>0</v>
          </cell>
        </row>
        <row r="20">
          <cell r="A20" t="str">
            <v>Установка пожарной сигнализации с устройством дымовых пожарных извещателей</v>
          </cell>
          <cell r="J20">
            <v>6063</v>
          </cell>
          <cell r="K20">
            <v>0</v>
          </cell>
        </row>
        <row r="21">
          <cell r="A21" t="str">
            <v>Добавить строки</v>
          </cell>
        </row>
        <row r="22">
          <cell r="A22" t="str">
            <v>Всего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37969.86</v>
          </cell>
        </row>
      </sheetData>
      <sheetData sheetId="14" refreshError="1">
        <row r="9">
          <cell r="E9">
            <v>3</v>
          </cell>
          <cell r="F9">
            <v>4</v>
          </cell>
          <cell r="G9">
            <v>5</v>
          </cell>
          <cell r="H9">
            <v>6</v>
          </cell>
          <cell r="I9">
            <v>7</v>
          </cell>
        </row>
        <row r="10">
          <cell r="C10" t="str">
            <v>L1</v>
          </cell>
          <cell r="D10" t="str">
            <v>Прибыль на развитие производства</v>
          </cell>
          <cell r="H10">
            <v>0</v>
          </cell>
          <cell r="I10">
            <v>1223.4594000000002</v>
          </cell>
        </row>
        <row r="12">
          <cell r="C12" t="str">
            <v>L1.1</v>
          </cell>
          <cell r="D12" t="str">
            <v>Прибыль на капитальные вложения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L1.1.ВН</v>
          </cell>
          <cell r="D13" t="str">
            <v>Прибыль на капитальные вложения - ВН</v>
          </cell>
          <cell r="H13">
            <v>0</v>
          </cell>
          <cell r="I13">
            <v>0</v>
          </cell>
        </row>
        <row r="14">
          <cell r="C14" t="str">
            <v>L1.1.СН1</v>
          </cell>
          <cell r="D14" t="str">
            <v>Прибыль на капитальные вложения - СН1</v>
          </cell>
          <cell r="H14">
            <v>0</v>
          </cell>
          <cell r="I14">
            <v>0</v>
          </cell>
        </row>
        <row r="15">
          <cell r="C15" t="str">
            <v>L1.1.СН2</v>
          </cell>
          <cell r="D15" t="str">
            <v>Прибыль на капитальные вложения - СН2</v>
          </cell>
          <cell r="H15">
            <v>0</v>
          </cell>
          <cell r="I15">
            <v>0</v>
          </cell>
        </row>
        <row r="16">
          <cell r="C16" t="str">
            <v>L1.1.НН</v>
          </cell>
          <cell r="D16" t="str">
            <v>Прибыль на капитальные вложения - НН</v>
          </cell>
          <cell r="H16">
            <v>0</v>
          </cell>
          <cell r="I16">
            <v>0</v>
          </cell>
        </row>
        <row r="17">
          <cell r="C17" t="str">
            <v>L2</v>
          </cell>
          <cell r="D17" t="str">
            <v xml:space="preserve">Прибыль на социальное развитие </v>
          </cell>
          <cell r="H17">
            <v>6741.7771674709502</v>
          </cell>
          <cell r="I17">
            <v>7213.7015691939168</v>
          </cell>
        </row>
        <row r="19">
          <cell r="C19" t="str">
            <v>L2.1</v>
          </cell>
          <cell r="D19" t="str">
            <v>Прибыль на социальное развитие  - капитальные вложения</v>
          </cell>
        </row>
        <row r="20">
          <cell r="C20" t="str">
            <v>L3</v>
          </cell>
          <cell r="D20" t="str">
            <v>Льготы, компенсации и проч.выплаты по Колдоговору</v>
          </cell>
        </row>
        <row r="21">
          <cell r="C21" t="str">
            <v>L4</v>
          </cell>
          <cell r="D21" t="str">
            <v>Дивиденды по акциям</v>
          </cell>
          <cell r="H21">
            <v>0</v>
          </cell>
          <cell r="I21">
            <v>0</v>
          </cell>
        </row>
        <row r="22">
          <cell r="C22" t="str">
            <v>L5</v>
          </cell>
          <cell r="D22" t="str">
            <v>Прибыль на прочие цели</v>
          </cell>
          <cell r="E22">
            <v>19264.849999999999</v>
          </cell>
          <cell r="F22">
            <v>27540</v>
          </cell>
          <cell r="G22">
            <v>30354.35</v>
          </cell>
          <cell r="H22">
            <v>337.08885837354751</v>
          </cell>
          <cell r="I22">
            <v>421.85804845969591</v>
          </cell>
        </row>
        <row r="24">
          <cell r="C24" t="str">
            <v>L5.1</v>
          </cell>
          <cell r="D24" t="str">
            <v>Проценты за пользование кредитом</v>
          </cell>
          <cell r="H24">
            <v>0</v>
          </cell>
        </row>
        <row r="25">
          <cell r="C25" t="str">
            <v>L5.2</v>
          </cell>
          <cell r="D25" t="str">
            <v>Услуги банка</v>
          </cell>
        </row>
        <row r="26">
          <cell r="C26" t="str">
            <v>L5.3</v>
          </cell>
          <cell r="D26" t="str">
            <v>Другие расходы из прибыли, всего</v>
          </cell>
          <cell r="E26">
            <v>0</v>
          </cell>
          <cell r="F26">
            <v>0</v>
          </cell>
          <cell r="G26">
            <v>30354.35</v>
          </cell>
          <cell r="H26">
            <v>0</v>
          </cell>
          <cell r="I26">
            <v>421.85804845969591</v>
          </cell>
        </row>
        <row r="27">
          <cell r="C27" t="str">
            <v>L5.3.1</v>
          </cell>
          <cell r="D27" t="str">
            <v>Другие расходы из прибыли, по видам затрат</v>
          </cell>
        </row>
        <row r="28">
          <cell r="G28">
            <v>30354.35</v>
          </cell>
        </row>
        <row r="29">
          <cell r="H29">
            <v>0</v>
          </cell>
        </row>
        <row r="30">
          <cell r="I30">
            <v>421.85804845969591</v>
          </cell>
        </row>
        <row r="31">
          <cell r="D31" t="str">
            <v>Добавить строки</v>
          </cell>
        </row>
        <row r="32">
          <cell r="C32" t="str">
            <v>L6</v>
          </cell>
          <cell r="D32" t="str">
            <v>Прибыль, облагаемая налогом</v>
          </cell>
          <cell r="H32">
            <v>12054.242705905623</v>
          </cell>
          <cell r="I32">
            <v>14564.749357819017</v>
          </cell>
        </row>
        <row r="33">
          <cell r="C33" t="str">
            <v>L7</v>
          </cell>
          <cell r="D33" t="str">
            <v>Налоги, сборы, платежи - всего</v>
          </cell>
          <cell r="E33">
            <v>9673.2099999999991</v>
          </cell>
          <cell r="F33">
            <v>10272.6</v>
          </cell>
          <cell r="G33">
            <v>625</v>
          </cell>
          <cell r="H33">
            <v>8781.9766800611251</v>
          </cell>
          <cell r="I33">
            <v>10888.130340165404</v>
          </cell>
        </row>
        <row r="35">
          <cell r="C35" t="str">
            <v>L7.1</v>
          </cell>
          <cell r="D35" t="str">
            <v>Налог на прибыль</v>
          </cell>
          <cell r="E35">
            <v>8863.2099999999991</v>
          </cell>
          <cell r="F35">
            <v>8183</v>
          </cell>
          <cell r="H35">
            <v>3806.6</v>
          </cell>
          <cell r="I35">
            <v>5182.3999999999996</v>
          </cell>
        </row>
        <row r="36">
          <cell r="C36" t="str">
            <v>L7.1.ВН</v>
          </cell>
          <cell r="D36" t="str">
            <v>Налог на прибыль - ВН</v>
          </cell>
          <cell r="H36">
            <v>0</v>
          </cell>
          <cell r="I36">
            <v>0</v>
          </cell>
        </row>
        <row r="37">
          <cell r="C37" t="str">
            <v>L7.1.СН1</v>
          </cell>
          <cell r="D37" t="str">
            <v>Налог на прибыль - СН1</v>
          </cell>
          <cell r="H37">
            <v>0</v>
          </cell>
          <cell r="I37">
            <v>0</v>
          </cell>
        </row>
        <row r="38">
          <cell r="C38" t="str">
            <v>L7.1.СН2</v>
          </cell>
          <cell r="D38" t="str">
            <v>Налог на прибыль - СН2</v>
          </cell>
          <cell r="H38">
            <v>0</v>
          </cell>
          <cell r="I38">
            <v>0</v>
          </cell>
        </row>
        <row r="39">
          <cell r="C39" t="str">
            <v>L7.1.НН</v>
          </cell>
          <cell r="D39" t="str">
            <v>Налог на прибыль - НН</v>
          </cell>
          <cell r="H39">
            <v>0</v>
          </cell>
          <cell r="I39">
            <v>0</v>
          </cell>
        </row>
        <row r="40">
          <cell r="C40" t="str">
            <v>L7.2</v>
          </cell>
          <cell r="D40" t="str">
            <v>Налог на имущество</v>
          </cell>
          <cell r="E40">
            <v>810</v>
          </cell>
          <cell r="F40">
            <v>622.6</v>
          </cell>
          <cell r="G40">
            <v>625</v>
          </cell>
          <cell r="H40">
            <v>0</v>
          </cell>
          <cell r="I40">
            <v>0</v>
          </cell>
        </row>
        <row r="41">
          <cell r="C41" t="str">
            <v>L7.2.ВН</v>
          </cell>
          <cell r="D41" t="str">
            <v>Налог на имущество - ВН</v>
          </cell>
        </row>
        <row r="42">
          <cell r="C42" t="str">
            <v>L7.2.СН1</v>
          </cell>
          <cell r="D42" t="str">
            <v>Налог на имущество - СН1</v>
          </cell>
        </row>
        <row r="43">
          <cell r="C43" t="str">
            <v>L7.2.СН2</v>
          </cell>
          <cell r="D43" t="str">
            <v>Налог на имущество - СН2</v>
          </cell>
        </row>
        <row r="44">
          <cell r="C44" t="str">
            <v>L7.2.НН</v>
          </cell>
          <cell r="D44" t="str">
            <v>Налог на имущество - НН</v>
          </cell>
        </row>
        <row r="45">
          <cell r="C45" t="str">
            <v>L7.3</v>
          </cell>
          <cell r="D45" t="str">
            <v>Плата за выбросы загрязняющих веществ</v>
          </cell>
        </row>
        <row r="46">
          <cell r="C46" t="str">
            <v>L7.4</v>
          </cell>
          <cell r="D46" t="str">
            <v>Другие налоги и обязательные сборы и платежи, всего</v>
          </cell>
          <cell r="E46">
            <v>0</v>
          </cell>
          <cell r="F46">
            <v>1467</v>
          </cell>
          <cell r="G46">
            <v>0</v>
          </cell>
          <cell r="H46">
            <v>4975.3766800611247</v>
          </cell>
          <cell r="I46">
            <v>5705.7303401654044</v>
          </cell>
        </row>
        <row r="47">
          <cell r="C47" t="str">
            <v>L7.4.1</v>
          </cell>
          <cell r="D47" t="str">
            <v>Другие налоги и обязательные сборы и платежи по видам затрат</v>
          </cell>
        </row>
        <row r="48">
          <cell r="H48">
            <v>1175.0201736000006</v>
          </cell>
          <cell r="I48">
            <v>1257.2715857520006</v>
          </cell>
        </row>
        <row r="49">
          <cell r="H49">
            <v>2030.6399999999999</v>
          </cell>
          <cell r="I49">
            <v>2233.7040000000002</v>
          </cell>
        </row>
        <row r="50">
          <cell r="F50">
            <v>1467</v>
          </cell>
          <cell r="H50">
            <v>1769.7165064611245</v>
          </cell>
          <cell r="I50">
            <v>2214.7547544134031</v>
          </cell>
        </row>
        <row r="51">
          <cell r="D51" t="str">
            <v>Добавить строки</v>
          </cell>
        </row>
        <row r="52">
          <cell r="C52" t="str">
            <v>L8</v>
          </cell>
          <cell r="D52" t="str">
            <v>Прибыль от реализации услуг по передаче электрической энергии</v>
          </cell>
          <cell r="E52">
            <v>28938.059999999998</v>
          </cell>
          <cell r="F52">
            <v>37812.6</v>
          </cell>
          <cell r="G52">
            <v>30979.35</v>
          </cell>
          <cell r="H52">
            <v>15860.842705905623</v>
          </cell>
          <cell r="I52">
            <v>19747.149357819017</v>
          </cell>
        </row>
        <row r="54">
          <cell r="C54" t="str">
            <v>L8.ВН</v>
          </cell>
          <cell r="D54" t="str">
            <v>Прибыль от реализации услуг по передаче электрической энергии - ВН</v>
          </cell>
          <cell r="H54">
            <v>0</v>
          </cell>
          <cell r="I54">
            <v>0</v>
          </cell>
        </row>
        <row r="55">
          <cell r="C55" t="str">
            <v>L8.СН1</v>
          </cell>
          <cell r="D55" t="str">
            <v>Прибыль от реализации услуг по передаче электрической энергии - СН1</v>
          </cell>
          <cell r="H55">
            <v>0</v>
          </cell>
          <cell r="I55">
            <v>0</v>
          </cell>
        </row>
        <row r="56">
          <cell r="C56" t="str">
            <v>L8.СН2</v>
          </cell>
          <cell r="D56" t="str">
            <v>Прибыль от реализации услуг по передаче электрической энергии - СН2</v>
          </cell>
          <cell r="E56">
            <v>23657.889222096172</v>
          </cell>
          <cell r="F56">
            <v>30913.140065347634</v>
          </cell>
          <cell r="G56">
            <v>25326.716112709182</v>
          </cell>
          <cell r="H56">
            <v>12966.800805078412</v>
          </cell>
          <cell r="I56">
            <v>16143.994170980015</v>
          </cell>
        </row>
        <row r="57">
          <cell r="C57" t="str">
            <v>L8.НН</v>
          </cell>
          <cell r="D57" t="str">
            <v>Прибыль от реализации услуг по передаче электрической энергии - НН</v>
          </cell>
          <cell r="E57">
            <v>5280.1707779038215</v>
          </cell>
          <cell r="F57">
            <v>6899.4599346523601</v>
          </cell>
          <cell r="G57">
            <v>5652.6338872908127</v>
          </cell>
          <cell r="H57">
            <v>2894.0419008272102</v>
          </cell>
          <cell r="I57">
            <v>3603.1551868390002</v>
          </cell>
        </row>
      </sheetData>
      <sheetData sheetId="15" refreshError="1">
        <row r="5">
          <cell r="G5">
            <v>5</v>
          </cell>
          <cell r="H5">
            <v>6</v>
          </cell>
          <cell r="I5">
            <v>7</v>
          </cell>
          <cell r="J5">
            <v>8</v>
          </cell>
          <cell r="K5">
            <v>9</v>
          </cell>
        </row>
        <row r="6">
          <cell r="B6" t="str">
            <v>Затраты, отнесенные на передачу электрической энергии (п.13 табл.П.1.18.2.)</v>
          </cell>
          <cell r="D6" t="str">
            <v>L1</v>
          </cell>
          <cell r="E6" t="str">
            <v>ТРУБ</v>
          </cell>
          <cell r="F6" t="str">
            <v>Затраты, отнесенные на передачу электрической энергии</v>
          </cell>
          <cell r="G6">
            <v>110088.28999999998</v>
          </cell>
          <cell r="H6">
            <v>123122</v>
          </cell>
          <cell r="I6">
            <v>81908.260000000009</v>
          </cell>
          <cell r="J6">
            <v>215490.8430693454</v>
          </cell>
          <cell r="K6">
            <v>428903.06705333292</v>
          </cell>
        </row>
        <row r="7">
          <cell r="B7" t="str">
            <v>ВН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B8" t="str">
            <v>СН</v>
          </cell>
          <cell r="G8">
            <v>84458.492592793889</v>
          </cell>
          <cell r="H8">
            <v>95369.353390574994</v>
          </cell>
          <cell r="I8">
            <v>61519.704024092134</v>
          </cell>
          <cell r="J8">
            <v>175661.91613046819</v>
          </cell>
          <cell r="K8">
            <v>350012.30722398334</v>
          </cell>
        </row>
        <row r="9">
          <cell r="B9" t="str">
            <v xml:space="preserve">    в том числе:</v>
          </cell>
        </row>
        <row r="10">
          <cell r="B10" t="str">
            <v>СН1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B11" t="str">
            <v>СН2</v>
          </cell>
          <cell r="G11">
            <v>84458.492592793889</v>
          </cell>
          <cell r="H11">
            <v>95369.353390574994</v>
          </cell>
          <cell r="I11">
            <v>61519.704024092134</v>
          </cell>
          <cell r="J11">
            <v>175661.91613046819</v>
          </cell>
          <cell r="K11">
            <v>350012.30722398334</v>
          </cell>
        </row>
        <row r="12">
          <cell r="B12" t="str">
            <v>НН</v>
          </cell>
          <cell r="G12">
            <v>25629.797407206097</v>
          </cell>
          <cell r="H12">
            <v>27752.646609425006</v>
          </cell>
          <cell r="I12">
            <v>20388.555975907868</v>
          </cell>
          <cell r="J12">
            <v>39828.926938877223</v>
          </cell>
          <cell r="K12">
            <v>78890.759829349612</v>
          </cell>
        </row>
        <row r="13">
          <cell r="B13" t="str">
            <v>Прибыль, отнесенная на передачу электрической энергии (п.8 табл.П.1.21.1-2)</v>
          </cell>
          <cell r="D13" t="str">
            <v>L2</v>
          </cell>
          <cell r="F13" t="str">
            <v>Прибыль, отнесенная на передачу электрической энергии</v>
          </cell>
          <cell r="G13">
            <v>28938.059999999994</v>
          </cell>
          <cell r="H13">
            <v>37812.599999999991</v>
          </cell>
          <cell r="I13">
            <v>30979.349999999995</v>
          </cell>
          <cell r="J13">
            <v>15860.842705905623</v>
          </cell>
          <cell r="K13">
            <v>19747.149357819017</v>
          </cell>
        </row>
        <row r="14">
          <cell r="B14" t="str">
            <v>ВН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B15" t="str">
            <v>СН</v>
          </cell>
          <cell r="G15">
            <v>23657.889222096172</v>
          </cell>
          <cell r="H15">
            <v>30913.140065347634</v>
          </cell>
          <cell r="I15">
            <v>25326.716112709182</v>
          </cell>
          <cell r="J15">
            <v>12966.800805078412</v>
          </cell>
          <cell r="K15">
            <v>16143.994170980015</v>
          </cell>
        </row>
        <row r="16">
          <cell r="B16" t="str">
            <v xml:space="preserve">    в том числе:</v>
          </cell>
        </row>
        <row r="17">
          <cell r="B17" t="str">
            <v>СН1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B18" t="str">
            <v>СН2</v>
          </cell>
          <cell r="G18">
            <v>23657.889222096172</v>
          </cell>
          <cell r="H18">
            <v>30913.140065347634</v>
          </cell>
          <cell r="I18">
            <v>25326.716112709182</v>
          </cell>
          <cell r="J18">
            <v>12966.800805078412</v>
          </cell>
          <cell r="K18">
            <v>16143.994170980015</v>
          </cell>
        </row>
        <row r="19">
          <cell r="B19" t="str">
            <v>НН</v>
          </cell>
          <cell r="G19">
            <v>5280.1707779038215</v>
          </cell>
          <cell r="H19">
            <v>6899.4599346523601</v>
          </cell>
          <cell r="I19">
            <v>5652.6338872908127</v>
          </cell>
          <cell r="J19">
            <v>2894.0419008272102</v>
          </cell>
          <cell r="K19">
            <v>3603.1551868390002</v>
          </cell>
        </row>
        <row r="20">
          <cell r="B20" t="str">
            <v>Рентабельность (п.2 / п.1 * 100%)</v>
          </cell>
          <cell r="D20" t="str">
            <v>L3</v>
          </cell>
          <cell r="E20" t="str">
            <v>ПРЦ</v>
          </cell>
          <cell r="G20">
            <v>26.286228989477443</v>
          </cell>
          <cell r="H20">
            <v>30.711489417001015</v>
          </cell>
          <cell r="I20">
            <v>37.822009648355362</v>
          </cell>
          <cell r="J20">
            <v>7.3603325691206143</v>
          </cell>
          <cell r="K20">
            <v>4.6041054202495397</v>
          </cell>
        </row>
        <row r="21">
          <cell r="B21" t="str">
            <v>Необходимая валовая выручка, отнесенная на передачу электрической энергии (п.1 + п.2)</v>
          </cell>
          <cell r="D21" t="str">
            <v>L4</v>
          </cell>
          <cell r="E21" t="str">
            <v>ТРУБ</v>
          </cell>
          <cell r="F21" t="str">
            <v>Необходимая валовая выручка, отнесенная на передачу электрической энергии</v>
          </cell>
          <cell r="G21">
            <v>139026.34999999998</v>
          </cell>
          <cell r="H21">
            <v>160934.59999999998</v>
          </cell>
          <cell r="I21">
            <v>112887.61</v>
          </cell>
          <cell r="J21">
            <v>231351.68577525101</v>
          </cell>
          <cell r="K21">
            <v>448650.21641115192</v>
          </cell>
        </row>
        <row r="22">
          <cell r="B22" t="str">
            <v>ВН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СН</v>
          </cell>
          <cell r="G23">
            <v>108116.38181489006</v>
          </cell>
          <cell r="H23">
            <v>126282.49345592262</v>
          </cell>
          <cell r="I23">
            <v>86846.420136801316</v>
          </cell>
          <cell r="J23">
            <v>188628.7169355466</v>
          </cell>
          <cell r="K23">
            <v>366156.30139496335</v>
          </cell>
        </row>
        <row r="24">
          <cell r="B24" t="str">
            <v xml:space="preserve">    в том числе:</v>
          </cell>
        </row>
        <row r="25">
          <cell r="B25" t="str">
            <v>СН1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B26" t="str">
            <v>СН2</v>
          </cell>
          <cell r="G26">
            <v>108116.38181489006</v>
          </cell>
          <cell r="H26">
            <v>126282.49345592262</v>
          </cell>
          <cell r="I26">
            <v>86846.420136801316</v>
          </cell>
          <cell r="J26">
            <v>188628.7169355466</v>
          </cell>
          <cell r="K26">
            <v>366156.30139496335</v>
          </cell>
        </row>
        <row r="27">
          <cell r="B27" t="str">
            <v>НН</v>
          </cell>
          <cell r="G27">
            <v>30909.968185109919</v>
          </cell>
          <cell r="H27">
            <v>34652.106544077367</v>
          </cell>
          <cell r="I27">
            <v>26041.189863198681</v>
          </cell>
          <cell r="J27">
            <v>42722.96883970443</v>
          </cell>
          <cell r="K27">
            <v>82493.915016188606</v>
          </cell>
        </row>
        <row r="28">
          <cell r="B28" t="str">
            <v xml:space="preserve">Среднемесячная за период суммарная заявленная (расчетная) мощность потребителей в максимум нагрузки ОЭС </v>
          </cell>
          <cell r="D28" t="str">
            <v>L0.1</v>
          </cell>
          <cell r="F28" t="str">
            <v xml:space="preserve">Среднемесячная за период суммарная заявленная (расчетная) мощность потребителей в максимум нагрузки ОЭС </v>
          </cell>
          <cell r="G28">
            <v>484.41865627528438</v>
          </cell>
          <cell r="H28">
            <v>480.08046271782865</v>
          </cell>
          <cell r="I28">
            <v>500.76999673766659</v>
          </cell>
          <cell r="J28">
            <v>504.9238831952436</v>
          </cell>
          <cell r="K28">
            <v>504.05556558249214</v>
          </cell>
        </row>
        <row r="29">
          <cell r="B29" t="str">
            <v>Суммарная по СН и НН (п.1.1.+ п.1.2.+п.1.3. табл.П1.5.)</v>
          </cell>
          <cell r="D29" t="str">
            <v>L0.2</v>
          </cell>
          <cell r="E29" t="str">
            <v>МВТ.МЕС</v>
          </cell>
          <cell r="G29">
            <v>337.93050512249374</v>
          </cell>
          <cell r="H29">
            <v>333.57057356191945</v>
          </cell>
          <cell r="I29">
            <v>352.15595404782061</v>
          </cell>
          <cell r="J29">
            <v>353.32609731600547</v>
          </cell>
          <cell r="K29">
            <v>348.67499440425684</v>
          </cell>
        </row>
        <row r="30">
          <cell r="B30" t="str">
            <v>Суммарная по СН2 и НН (п.1.2.+п.1.3. табл.П1.5.)</v>
          </cell>
          <cell r="D30" t="str">
            <v>L0.3</v>
          </cell>
          <cell r="E30" t="str">
            <v>МВТ.МЕС</v>
          </cell>
          <cell r="G30">
            <v>200.74235396970317</v>
          </cell>
          <cell r="H30">
            <v>196.16068440601026</v>
          </cell>
          <cell r="I30">
            <v>211.21191135797449</v>
          </cell>
          <cell r="J30">
            <v>207.14231143676727</v>
          </cell>
          <cell r="K30">
            <v>198.86942322602164</v>
          </cell>
        </row>
        <row r="31">
          <cell r="B31" t="str">
            <v>В сети НН (п.1.3. табл.П1.5.)</v>
          </cell>
          <cell r="D31" t="str">
            <v>L0.4</v>
          </cell>
          <cell r="E31" t="str">
            <v>МВТ.МЕС</v>
          </cell>
          <cell r="G31">
            <v>70.08</v>
          </cell>
          <cell r="H31">
            <v>66.050000000000011</v>
          </cell>
          <cell r="I31">
            <v>73.84</v>
          </cell>
          <cell r="J31">
            <v>68.674999999999997</v>
          </cell>
          <cell r="K31">
            <v>56.510000000000012</v>
          </cell>
        </row>
        <row r="32">
          <cell r="B32" t="str">
            <v>Плата за услуги на содержание электрических сетей по диапазонам напряжения в расчете на 1 МВт согласно формулам (31)-(33)</v>
          </cell>
          <cell r="D32" t="str">
            <v>L5</v>
          </cell>
          <cell r="E32" t="str">
            <v>РУБ.ТКВТЧ.МЕС</v>
          </cell>
          <cell r="F32" t="str">
            <v>Плата за услуги на содержание электрических сетей по диапазонам напряжения в расчете на 1 МВт</v>
          </cell>
        </row>
        <row r="33">
          <cell r="B33" t="str">
            <v>ВН</v>
          </cell>
          <cell r="E33" t="str">
            <v>РУБ.МВТ.МЕС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B34" t="str">
            <v>СН</v>
          </cell>
        </row>
        <row r="35">
          <cell r="B35" t="str">
            <v xml:space="preserve">    в том числе:</v>
          </cell>
        </row>
        <row r="36">
          <cell r="B36" t="str">
            <v>СН1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B37" t="str">
            <v>СН2</v>
          </cell>
          <cell r="G37">
            <v>68954.049968082327</v>
          </cell>
          <cell r="H37">
            <v>80881.452352430846</v>
          </cell>
          <cell r="I37">
            <v>52683.271321802531</v>
          </cell>
          <cell r="J37">
            <v>113521.80945469701</v>
          </cell>
          <cell r="K37">
            <v>214337.93720702239</v>
          </cell>
        </row>
        <row r="38">
          <cell r="B38" t="str">
            <v>НН</v>
          </cell>
          <cell r="G38">
            <v>115925.16921045852</v>
          </cell>
          <cell r="H38">
            <v>136614.65369488712</v>
          </cell>
          <cell r="I38">
            <v>87981.447627352973</v>
          </cell>
          <cell r="J38">
            <v>183977.40949305077</v>
          </cell>
          <cell r="K38">
            <v>377026.05920403061</v>
          </cell>
        </row>
        <row r="39">
          <cell r="B39" t="str">
            <v>Плата за услуги на содержание электрических сетей по диапазонам напряжения в расчете на 1 МВтч согласно формулам (34)-(36)</v>
          </cell>
          <cell r="D39" t="str">
            <v>L6</v>
          </cell>
          <cell r="E39" t="str">
            <v>РУБ.ТКВТЧ.МЕС</v>
          </cell>
          <cell r="F39" t="str">
            <v>Плата за услуги на содержание электрических сетей по диапазонам напряжения в расчете на 1 МВтч</v>
          </cell>
        </row>
        <row r="40">
          <cell r="B40" t="str">
            <v>ВН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B41" t="str">
            <v>СН</v>
          </cell>
        </row>
        <row r="42">
          <cell r="B42" t="str">
            <v xml:space="preserve">    в том числе:</v>
          </cell>
        </row>
        <row r="43">
          <cell r="B43" t="str">
            <v>СН1</v>
          </cell>
          <cell r="G43" t="e">
            <v>#DIV/0!</v>
          </cell>
          <cell r="H43" t="e">
            <v>#DIV/0!</v>
          </cell>
          <cell r="I43" t="e">
            <v>#DIV/0!</v>
          </cell>
          <cell r="J43" t="e">
            <v>#DIV/0!</v>
          </cell>
          <cell r="K43" t="e">
            <v>#DIV/0!</v>
          </cell>
        </row>
        <row r="44">
          <cell r="B44" t="str">
            <v>СН2</v>
          </cell>
          <cell r="G44">
            <v>123.44106894731884</v>
          </cell>
          <cell r="H44">
            <v>162.48723335493241</v>
          </cell>
          <cell r="I44">
            <v>98.186903036923255</v>
          </cell>
          <cell r="J44">
            <v>209.81751887909448</v>
          </cell>
          <cell r="K44">
            <v>398.74065326185882</v>
          </cell>
        </row>
        <row r="45">
          <cell r="B45" t="str">
            <v>НН</v>
          </cell>
          <cell r="G45">
            <v>227.96312474974206</v>
          </cell>
          <cell r="H45">
            <v>253.89890665405363</v>
          </cell>
          <cell r="I45">
            <v>182.11222461606459</v>
          </cell>
          <cell r="J45">
            <v>340.99851596346366</v>
          </cell>
          <cell r="K45">
            <v>701.34473561941525</v>
          </cell>
        </row>
      </sheetData>
      <sheetData sheetId="16" refreshError="1">
        <row r="5">
          <cell r="G5">
            <v>4</v>
          </cell>
          <cell r="H5">
            <v>5</v>
          </cell>
          <cell r="I5">
            <v>6</v>
          </cell>
          <cell r="J5">
            <v>7</v>
          </cell>
          <cell r="K5">
            <v>8</v>
          </cell>
        </row>
        <row r="6">
          <cell r="D6" t="str">
            <v>L1</v>
          </cell>
          <cell r="E6" t="str">
            <v>РУБ.МВТЧ</v>
          </cell>
          <cell r="F6" t="str">
            <v xml:space="preserve">Ставка за электроэнергию тарифа покупки </v>
          </cell>
          <cell r="G6">
            <v>1053.8400000000001</v>
          </cell>
          <cell r="H6">
            <v>1053.8400000000001</v>
          </cell>
          <cell r="I6">
            <v>1208.1200000000001</v>
          </cell>
          <cell r="J6">
            <v>1208.1200000000001</v>
          </cell>
          <cell r="K6">
            <v>1299.5609999999999</v>
          </cell>
        </row>
        <row r="7">
          <cell r="D7" t="str">
            <v>L1.1</v>
          </cell>
          <cell r="F7" t="str">
            <v>Ставка за электроэнергию тарифа покупки. Группа 1</v>
          </cell>
        </row>
        <row r="8">
          <cell r="D8" t="str">
            <v>L1.2</v>
          </cell>
          <cell r="F8" t="str">
            <v>Ставка за электроэнергию тарифа покупки. Группы 2-4</v>
          </cell>
        </row>
        <row r="9">
          <cell r="D9" t="str">
            <v>L2</v>
          </cell>
          <cell r="E9" t="str">
            <v>МКВТЧ</v>
          </cell>
          <cell r="F9" t="str">
            <v>Отпуск электрической энергии в сеть с учетом величины сальдо-перетока электроэнергии</v>
          </cell>
        </row>
        <row r="10">
          <cell r="B10" t="str">
            <v>ВН</v>
          </cell>
          <cell r="G10">
            <v>921.1</v>
          </cell>
          <cell r="H10">
            <v>899.5856</v>
          </cell>
          <cell r="I10">
            <v>901.4</v>
          </cell>
          <cell r="J10">
            <v>982.74400000000014</v>
          </cell>
          <cell r="K10">
            <v>1002.5</v>
          </cell>
        </row>
        <row r="11">
          <cell r="B11" t="str">
            <v>СН</v>
          </cell>
          <cell r="G11">
            <v>1742.65</v>
          </cell>
          <cell r="H11">
            <v>1716.3488000000002</v>
          </cell>
          <cell r="I11">
            <v>1710.84</v>
          </cell>
          <cell r="J11">
            <v>1895.1890000000003</v>
          </cell>
          <cell r="K11">
            <v>1933.075</v>
          </cell>
        </row>
        <row r="12">
          <cell r="B12" t="str">
            <v>в том числе</v>
          </cell>
        </row>
        <row r="13">
          <cell r="B13" t="str">
            <v>СН1</v>
          </cell>
          <cell r="G13">
            <v>871.4</v>
          </cell>
          <cell r="H13">
            <v>858.17440000000011</v>
          </cell>
          <cell r="I13">
            <v>855.42</v>
          </cell>
          <cell r="J13">
            <v>947.59500000000014</v>
          </cell>
          <cell r="K13">
            <v>966.53800000000001</v>
          </cell>
        </row>
        <row r="14">
          <cell r="B14" t="str">
            <v>СН2</v>
          </cell>
          <cell r="G14">
            <v>871.25</v>
          </cell>
          <cell r="H14">
            <v>858.17440000000011</v>
          </cell>
          <cell r="I14">
            <v>855.42</v>
          </cell>
          <cell r="J14">
            <v>947.59400000000016</v>
          </cell>
          <cell r="K14">
            <v>966.53700000000003</v>
          </cell>
        </row>
        <row r="15">
          <cell r="B15" t="str">
            <v>НН</v>
          </cell>
          <cell r="G15">
            <v>491.00635951974255</v>
          </cell>
          <cell r="H15">
            <v>490.52540000000016</v>
          </cell>
          <cell r="I15">
            <v>476.67999999999995</v>
          </cell>
          <cell r="J15">
            <v>517.20900000000006</v>
          </cell>
          <cell r="K15">
            <v>434.26902109198323</v>
          </cell>
        </row>
        <row r="16">
          <cell r="B16" t="str">
            <v xml:space="preserve">Потери электрической энергии </v>
          </cell>
          <cell r="D16" t="str">
            <v>L3</v>
          </cell>
          <cell r="E16" t="str">
            <v>ПРЦ</v>
          </cell>
          <cell r="F16" t="str">
            <v xml:space="preserve">Потери электрической энергии </v>
          </cell>
        </row>
        <row r="17">
          <cell r="B17" t="str">
            <v>ВН</v>
          </cell>
          <cell r="G17">
            <v>0</v>
          </cell>
          <cell r="H17">
            <v>0.20009213131023884</v>
          </cell>
          <cell r="I17">
            <v>0</v>
          </cell>
          <cell r="J17">
            <v>0</v>
          </cell>
          <cell r="K17">
            <v>0</v>
          </cell>
        </row>
        <row r="18">
          <cell r="B18" t="str">
            <v>СН</v>
          </cell>
        </row>
        <row r="19">
          <cell r="B19" t="str">
            <v>в том числе</v>
          </cell>
        </row>
        <row r="20">
          <cell r="B20" t="str">
            <v>СН1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B21" t="str">
            <v>СН2</v>
          </cell>
          <cell r="G21">
            <v>5.0207908729133335</v>
          </cell>
          <cell r="H21">
            <v>5.0805523912155834</v>
          </cell>
          <cell r="I21">
            <v>2.6887376961024994</v>
          </cell>
          <cell r="J21">
            <v>5.3145123333410709</v>
          </cell>
          <cell r="K21">
            <v>4.9962886995548859</v>
          </cell>
        </row>
        <row r="22">
          <cell r="B22" t="str">
            <v>НН</v>
          </cell>
          <cell r="G22">
            <v>12.496041717210291</v>
          </cell>
          <cell r="H22">
            <v>12.782212704989382</v>
          </cell>
          <cell r="I22">
            <v>9.9508708428770039</v>
          </cell>
          <cell r="J22">
            <v>13.844499999033269</v>
          </cell>
          <cell r="K22">
            <v>15.811402093413282</v>
          </cell>
        </row>
        <row r="23">
          <cell r="B23" t="str">
            <v>Полезный отпуск электрической энергии</v>
          </cell>
          <cell r="D23" t="str">
            <v>L4</v>
          </cell>
          <cell r="E23" t="str">
            <v>МКВТЧ</v>
          </cell>
          <cell r="F23" t="str">
            <v>Полезный отпуск электрической энергии</v>
          </cell>
        </row>
        <row r="24">
          <cell r="B24" t="str">
            <v>ВН</v>
          </cell>
          <cell r="G24">
            <v>49.7</v>
          </cell>
          <cell r="H24">
            <v>39.611199999999997</v>
          </cell>
          <cell r="I24">
            <v>45.98</v>
          </cell>
          <cell r="J24">
            <v>35.149000000000001</v>
          </cell>
          <cell r="K24">
            <v>35.962000000000003</v>
          </cell>
        </row>
        <row r="25">
          <cell r="B25" t="str">
            <v>СН</v>
          </cell>
          <cell r="G25">
            <v>336.65</v>
          </cell>
          <cell r="H25">
            <v>324.04899999999992</v>
          </cell>
          <cell r="I25">
            <v>355.74</v>
          </cell>
          <cell r="J25">
            <v>380.02600000000007</v>
          </cell>
          <cell r="K25">
            <v>483.97800000000001</v>
          </cell>
        </row>
        <row r="26">
          <cell r="B26" t="str">
            <v>в том числе</v>
          </cell>
        </row>
        <row r="27">
          <cell r="B27" t="str">
            <v>СН1</v>
          </cell>
          <cell r="G27">
            <v>0.15</v>
          </cell>
          <cell r="H27">
            <v>0</v>
          </cell>
          <cell r="I27">
            <v>0</v>
          </cell>
          <cell r="J27">
            <v>1E-3</v>
          </cell>
          <cell r="K27">
            <v>1E-3</v>
          </cell>
        </row>
        <row r="28">
          <cell r="B28" t="str">
            <v>СН2</v>
          </cell>
          <cell r="G28">
            <v>336.5</v>
          </cell>
          <cell r="H28">
            <v>324.04899999999992</v>
          </cell>
          <cell r="I28">
            <v>355.74</v>
          </cell>
          <cell r="J28">
            <v>380.02500000000009</v>
          </cell>
          <cell r="K28">
            <v>483.97700000000003</v>
          </cell>
        </row>
        <row r="29">
          <cell r="B29" t="str">
            <v>НН</v>
          </cell>
          <cell r="G29">
            <v>427.65</v>
          </cell>
          <cell r="H29">
            <v>426.47199999999998</v>
          </cell>
          <cell r="I29">
            <v>428.08</v>
          </cell>
          <cell r="J29">
            <v>444.62300000000005</v>
          </cell>
          <cell r="K29">
            <v>364.54100000000005</v>
          </cell>
        </row>
        <row r="30">
          <cell r="B30" t="str">
            <v>Расходы на компенсацию потерь</v>
          </cell>
          <cell r="D30" t="str">
            <v>L5</v>
          </cell>
          <cell r="E30" t="str">
            <v>ТРУБ</v>
          </cell>
          <cell r="F30" t="str">
            <v>Расходы на компенсацию потерь</v>
          </cell>
        </row>
        <row r="31">
          <cell r="B31" t="str">
            <v>ВН</v>
          </cell>
          <cell r="G31">
            <v>0</v>
          </cell>
          <cell r="H31">
            <v>1896.9120000000005</v>
          </cell>
          <cell r="I31">
            <v>0</v>
          </cell>
          <cell r="J31">
            <v>0</v>
          </cell>
          <cell r="K31">
            <v>0</v>
          </cell>
        </row>
        <row r="32">
          <cell r="B32" t="str">
            <v>СН</v>
          </cell>
        </row>
        <row r="33">
          <cell r="B33" t="str">
            <v>в том числе</v>
          </cell>
        </row>
        <row r="34">
          <cell r="B34" t="str">
            <v>СН1</v>
          </cell>
          <cell r="G34">
            <v>0</v>
          </cell>
          <cell r="H34">
            <v>1813.2183423890965</v>
          </cell>
          <cell r="I34">
            <v>0</v>
          </cell>
          <cell r="J34">
            <v>0</v>
          </cell>
          <cell r="K34">
            <v>0</v>
          </cell>
        </row>
        <row r="35">
          <cell r="B35" t="str">
            <v>СН2</v>
          </cell>
          <cell r="G35">
            <v>46098.798083714479</v>
          </cell>
          <cell r="H35">
            <v>47760.642342389088</v>
          </cell>
          <cell r="I35">
            <v>27786.76</v>
          </cell>
          <cell r="J35">
            <v>60840.923200000005</v>
          </cell>
          <cell r="K35">
            <v>62757.072840681227</v>
          </cell>
        </row>
        <row r="36">
          <cell r="B36" t="str">
            <v>НН</v>
          </cell>
          <cell r="G36">
            <v>92012.811986631161</v>
          </cell>
          <cell r="H36">
            <v>94836.56405405885</v>
          </cell>
          <cell r="I36">
            <v>73217.646669353533</v>
          </cell>
          <cell r="J36">
            <v>121579.0783995894</v>
          </cell>
          <cell r="K36">
            <v>118912.98664530038</v>
          </cell>
        </row>
        <row r="37">
          <cell r="B37" t="str">
            <v>Ставка на оплату технологического расхода (потерь ) электрической энергии на ее передачу по сетям</v>
          </cell>
          <cell r="D37" t="str">
            <v>L6</v>
          </cell>
          <cell r="E37" t="str">
            <v>РУБ.МВТЧ</v>
          </cell>
          <cell r="F37" t="str">
            <v>Ставка на оплату технологического расхода (потерь ) электрической энергии на ее передачу по сетям</v>
          </cell>
        </row>
        <row r="38">
          <cell r="B38" t="str">
            <v>ВН</v>
          </cell>
          <cell r="G38">
            <v>0</v>
          </cell>
          <cell r="H38">
            <v>2.1128786204635053</v>
          </cell>
          <cell r="I38">
            <v>0</v>
          </cell>
          <cell r="J38">
            <v>0</v>
          </cell>
          <cell r="K38">
            <v>0</v>
          </cell>
        </row>
        <row r="39">
          <cell r="B39" t="str">
            <v>СН</v>
          </cell>
        </row>
        <row r="40">
          <cell r="B40" t="str">
            <v>в том числе</v>
          </cell>
        </row>
        <row r="41">
          <cell r="B41" t="str">
            <v>СН1</v>
          </cell>
          <cell r="G41">
            <v>0</v>
          </cell>
          <cell r="H41">
            <v>2.1128786204635053</v>
          </cell>
          <cell r="I41">
            <v>0</v>
          </cell>
          <cell r="J41">
            <v>0</v>
          </cell>
          <cell r="K41">
            <v>0</v>
          </cell>
        </row>
        <row r="42">
          <cell r="B42" t="str">
            <v>СН2</v>
          </cell>
          <cell r="G42">
            <v>55.708089192775148</v>
          </cell>
          <cell r="H42">
            <v>58.632633608899425</v>
          </cell>
          <cell r="I42">
            <v>33.380697244179622</v>
          </cell>
          <cell r="J42">
            <v>67.809426749320679</v>
          </cell>
          <cell r="K42">
            <v>68.344508333453135</v>
          </cell>
        </row>
        <row r="43">
          <cell r="B43" t="str">
            <v>НН</v>
          </cell>
          <cell r="G43">
            <v>214.15759801380466</v>
          </cell>
          <cell r="H43">
            <v>221.67118654960368</v>
          </cell>
          <cell r="I43">
            <v>170.57261909011524</v>
          </cell>
          <cell r="J43">
            <v>272.84108401089168</v>
          </cell>
          <cell r="K43">
            <v>325.24989167352845</v>
          </cell>
        </row>
      </sheetData>
      <sheetData sheetId="17" refreshError="1">
        <row r="4">
          <cell r="D4" t="str">
            <v>Базовые потребители</v>
          </cell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  <cell r="AJ4" t="str">
            <v>Население</v>
          </cell>
          <cell r="AP4" t="str">
            <v>Прочие потребители</v>
          </cell>
          <cell r="AV4" t="str">
            <v>в том числе бюджетные потребители</v>
          </cell>
          <cell r="BB4" t="str">
            <v>Итого для собственных потребителей</v>
          </cell>
          <cell r="BH4" t="str">
            <v>Потребители по прямым договорам</v>
          </cell>
        </row>
        <row r="6">
          <cell r="D6" t="str">
            <v>Всего</v>
          </cell>
          <cell r="E6" t="str">
            <v>с шин</v>
          </cell>
          <cell r="F6" t="str">
            <v>ВН</v>
          </cell>
          <cell r="G6" t="str">
            <v>СН1</v>
          </cell>
          <cell r="H6" t="str">
            <v>СН2</v>
          </cell>
          <cell r="I6" t="str">
            <v>НН</v>
          </cell>
          <cell r="K6" t="str">
            <v>Всего</v>
          </cell>
          <cell r="L6" t="str">
            <v>с шин</v>
          </cell>
          <cell r="M6" t="str">
            <v>ВН</v>
          </cell>
          <cell r="N6" t="str">
            <v>СН1</v>
          </cell>
          <cell r="O6" t="str">
            <v>СН2</v>
          </cell>
          <cell r="P6" t="str">
            <v>НН</v>
          </cell>
          <cell r="Q6" t="str">
            <v>Всего</v>
          </cell>
          <cell r="R6" t="str">
            <v>с шин</v>
          </cell>
          <cell r="S6" t="str">
            <v>ВН</v>
          </cell>
          <cell r="T6" t="str">
            <v>СН1</v>
          </cell>
          <cell r="U6" t="str">
            <v>СН2</v>
          </cell>
          <cell r="V6" t="str">
            <v>НН</v>
          </cell>
          <cell r="W6" t="str">
            <v>Всего</v>
          </cell>
          <cell r="X6" t="str">
            <v>с шин</v>
          </cell>
          <cell r="Y6" t="str">
            <v>ВН</v>
          </cell>
          <cell r="Z6" t="str">
            <v>СН1</v>
          </cell>
          <cell r="AA6" t="str">
            <v>СН2</v>
          </cell>
          <cell r="AB6" t="str">
            <v>НН</v>
          </cell>
          <cell r="AC6" t="str">
            <v>Всего</v>
          </cell>
          <cell r="AD6" t="str">
            <v>с шин</v>
          </cell>
          <cell r="AE6" t="str">
            <v>ВН</v>
          </cell>
          <cell r="AF6" t="str">
            <v>СН1</v>
          </cell>
          <cell r="AG6" t="str">
            <v>СН2</v>
          </cell>
          <cell r="AH6" t="str">
            <v>НН</v>
          </cell>
          <cell r="AJ6" t="str">
            <v>Всего</v>
          </cell>
          <cell r="AK6" t="str">
            <v>с шин</v>
          </cell>
          <cell r="AL6" t="str">
            <v>ВН</v>
          </cell>
          <cell r="AM6" t="str">
            <v>СН1</v>
          </cell>
          <cell r="AN6" t="str">
            <v>СН2</v>
          </cell>
          <cell r="AO6" t="str">
            <v>НН</v>
          </cell>
          <cell r="AP6" t="str">
            <v>Всего</v>
          </cell>
          <cell r="AQ6" t="str">
            <v>с шин</v>
          </cell>
          <cell r="AR6" t="str">
            <v>ВН</v>
          </cell>
          <cell r="AS6" t="str">
            <v>СН1</v>
          </cell>
          <cell r="AT6" t="str">
            <v>СН2</v>
          </cell>
          <cell r="AU6" t="str">
            <v>НН</v>
          </cell>
          <cell r="AV6" t="str">
            <v>Всего</v>
          </cell>
          <cell r="AW6" t="str">
            <v>с шин</v>
          </cell>
          <cell r="AX6" t="str">
            <v>ВН</v>
          </cell>
          <cell r="AY6" t="str">
            <v>СН1</v>
          </cell>
          <cell r="AZ6" t="str">
            <v>СН2</v>
          </cell>
          <cell r="BA6" t="str">
            <v>НН</v>
          </cell>
          <cell r="BB6" t="str">
            <v>Всего</v>
          </cell>
          <cell r="BC6" t="str">
            <v>с шин</v>
          </cell>
          <cell r="BD6" t="str">
            <v>ВН</v>
          </cell>
          <cell r="BE6" t="str">
            <v>СН1</v>
          </cell>
          <cell r="BF6" t="str">
            <v>СН2</v>
          </cell>
          <cell r="BG6" t="str">
            <v>НН</v>
          </cell>
          <cell r="BH6" t="str">
            <v>Всего</v>
          </cell>
          <cell r="BI6" t="str">
            <v>с шин</v>
          </cell>
          <cell r="BJ6" t="str">
            <v>ВН</v>
          </cell>
          <cell r="BK6" t="str">
            <v>СН1</v>
          </cell>
          <cell r="BL6" t="str">
            <v>СН2</v>
          </cell>
          <cell r="BM6" t="str">
            <v>НН</v>
          </cell>
        </row>
        <row r="8">
          <cell r="A8" t="str">
            <v>1.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 t="str">
            <v>Добавить столбцы</v>
          </cell>
          <cell r="AJ8">
            <v>282.38900000000001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282.38900000000001</v>
          </cell>
          <cell r="AP8">
            <v>602.0920000000001</v>
          </cell>
          <cell r="AQ8">
            <v>0</v>
          </cell>
          <cell r="AR8">
            <v>35.962000000000003</v>
          </cell>
          <cell r="AS8">
            <v>1E-3</v>
          </cell>
          <cell r="AT8">
            <v>483.97700000000003</v>
          </cell>
          <cell r="AU8">
            <v>82.152000000000044</v>
          </cell>
          <cell r="AV8">
            <v>77.59</v>
          </cell>
          <cell r="AW8">
            <v>0</v>
          </cell>
          <cell r="AX8">
            <v>0</v>
          </cell>
          <cell r="AY8">
            <v>0</v>
          </cell>
          <cell r="AZ8">
            <v>66.171999999999997</v>
          </cell>
          <cell r="BA8">
            <v>11.417999999999999</v>
          </cell>
          <cell r="BB8">
            <v>884.48100000000011</v>
          </cell>
          <cell r="BC8">
            <v>0</v>
          </cell>
          <cell r="BD8">
            <v>35.962000000000003</v>
          </cell>
          <cell r="BE8">
            <v>1E-3</v>
          </cell>
          <cell r="BF8">
            <v>483.97700000000003</v>
          </cell>
          <cell r="BG8">
            <v>364.54100000000005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</row>
        <row r="9">
          <cell r="A9" t="str">
            <v>2.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J9">
            <v>43.769999999999996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43.769999999999996</v>
          </cell>
          <cell r="AP9">
            <v>93.345000000000013</v>
          </cell>
          <cell r="AQ9">
            <v>0</v>
          </cell>
          <cell r="AR9">
            <v>5.5750000000000002</v>
          </cell>
          <cell r="AS9">
            <v>0</v>
          </cell>
          <cell r="AT9">
            <v>75.03</v>
          </cell>
          <cell r="AU9">
            <v>12.740000000000009</v>
          </cell>
          <cell r="AV9">
            <v>13.603</v>
          </cell>
          <cell r="AW9">
            <v>0</v>
          </cell>
          <cell r="AX9">
            <v>0</v>
          </cell>
          <cell r="AY9">
            <v>0</v>
          </cell>
          <cell r="AZ9">
            <v>11.84</v>
          </cell>
          <cell r="BA9">
            <v>1.7629999999999999</v>
          </cell>
          <cell r="BB9">
            <v>137.11500000000001</v>
          </cell>
          <cell r="BC9">
            <v>0</v>
          </cell>
          <cell r="BD9">
            <v>5.5750000000000002</v>
          </cell>
          <cell r="BE9">
            <v>0</v>
          </cell>
          <cell r="BF9">
            <v>75.03</v>
          </cell>
          <cell r="BG9">
            <v>56.510000000000005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</row>
        <row r="11">
          <cell r="A11" t="str">
            <v>3.</v>
          </cell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  <cell r="H11" t="e">
            <v>#NAME?</v>
          </cell>
          <cell r="I11" t="e">
            <v>#NAME?</v>
          </cell>
          <cell r="K11" t="e">
            <v>#NAME?</v>
          </cell>
          <cell r="L11" t="e">
            <v>#NAME?</v>
          </cell>
          <cell r="M11" t="e">
            <v>#NAME?</v>
          </cell>
          <cell r="N11" t="e">
            <v>#NAME?</v>
          </cell>
          <cell r="O11" t="e">
            <v>#NAME?</v>
          </cell>
          <cell r="P11" t="e">
            <v>#NAME?</v>
          </cell>
          <cell r="Q11" t="e">
            <v>#NAME?</v>
          </cell>
          <cell r="R11" t="e">
            <v>#NAME?</v>
          </cell>
          <cell r="S11" t="e">
            <v>#NAME?</v>
          </cell>
          <cell r="T11" t="e">
            <v>#NAME?</v>
          </cell>
          <cell r="U11" t="e">
            <v>#NAME?</v>
          </cell>
          <cell r="V11" t="e">
            <v>#NAME?</v>
          </cell>
          <cell r="W11" t="e">
            <v>#NAME?</v>
          </cell>
          <cell r="X11" t="e">
            <v>#NAME?</v>
          </cell>
          <cell r="Y11" t="e">
            <v>#NAME?</v>
          </cell>
          <cell r="Z11" t="e">
            <v>#NAME?</v>
          </cell>
          <cell r="AA11" t="e">
            <v>#NAME?</v>
          </cell>
          <cell r="AB11" t="e">
            <v>#NAME?</v>
          </cell>
          <cell r="AC11" t="e">
            <v>#NAME?</v>
          </cell>
          <cell r="AD11" t="e">
            <v>#NAME?</v>
          </cell>
          <cell r="AE11" t="e">
            <v>#NAME?</v>
          </cell>
          <cell r="AF11" t="e">
            <v>#NAME?</v>
          </cell>
          <cell r="AG11" t="e">
            <v>#NAME?</v>
          </cell>
          <cell r="AH11" t="e">
            <v>#NAME?</v>
          </cell>
          <cell r="AJ11" t="e">
            <v>#NAME?</v>
          </cell>
          <cell r="AK11" t="e">
            <v>#NAME?</v>
          </cell>
          <cell r="AL11" t="e">
            <v>#NAME?</v>
          </cell>
          <cell r="AM11" t="e">
            <v>#NAME?</v>
          </cell>
          <cell r="AN11" t="e">
            <v>#NAME?</v>
          </cell>
          <cell r="AO11" t="e">
            <v>#NAME?</v>
          </cell>
          <cell r="AP11" t="e">
            <v>#NAME?</v>
          </cell>
          <cell r="AQ11" t="e">
            <v>#NAME?</v>
          </cell>
          <cell r="AR11" t="e">
            <v>#NAME?</v>
          </cell>
          <cell r="AS11" t="e">
            <v>#NAME?</v>
          </cell>
          <cell r="AT11" t="e">
            <v>#NAME?</v>
          </cell>
          <cell r="AU11" t="e">
            <v>#NAME?</v>
          </cell>
          <cell r="AV11" t="e">
            <v>#NAME?</v>
          </cell>
          <cell r="AW11" t="e">
            <v>#NAME?</v>
          </cell>
          <cell r="AX11" t="e">
            <v>#NAME?</v>
          </cell>
          <cell r="AY11" t="e">
            <v>#NAME?</v>
          </cell>
          <cell r="AZ11" t="e">
            <v>#NAME?</v>
          </cell>
          <cell r="BA11" t="e">
            <v>#NAME?</v>
          </cell>
          <cell r="BB11" t="e">
            <v>#NAME?</v>
          </cell>
          <cell r="BC11" t="e">
            <v>#NAME?</v>
          </cell>
          <cell r="BD11" t="e">
            <v>#NAME?</v>
          </cell>
          <cell r="BE11" t="e">
            <v>#NAME?</v>
          </cell>
          <cell r="BF11" t="e">
            <v>#NAME?</v>
          </cell>
          <cell r="BG11" t="e">
            <v>#NAME?</v>
          </cell>
        </row>
        <row r="12">
          <cell r="A12" t="str">
            <v>3.1.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</row>
        <row r="13">
          <cell r="A13" t="str">
            <v>3.2.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5">
          <cell r="A15" t="str">
            <v>4.</v>
          </cell>
          <cell r="D15" t="e">
            <v>#NAME?</v>
          </cell>
          <cell r="F15">
            <v>0</v>
          </cell>
          <cell r="G15" t="e">
            <v>#DIV/0!</v>
          </cell>
          <cell r="H15">
            <v>467.08516159531194</v>
          </cell>
          <cell r="I15">
            <v>1026.5946272929436</v>
          </cell>
          <cell r="K15" t="e">
            <v>#NAME?</v>
          </cell>
          <cell r="M15" t="e">
            <v>#NAME?</v>
          </cell>
          <cell r="N15" t="e">
            <v>#NAME?</v>
          </cell>
          <cell r="O15" t="e">
            <v>#NAME?</v>
          </cell>
          <cell r="P15" t="e">
            <v>#NAME?</v>
          </cell>
          <cell r="Q15" t="e">
            <v>#NAME?</v>
          </cell>
          <cell r="S15" t="e">
            <v>#NAME?</v>
          </cell>
          <cell r="T15" t="e">
            <v>#NAME?</v>
          </cell>
          <cell r="U15" t="e">
            <v>#NAME?</v>
          </cell>
          <cell r="V15" t="e">
            <v>#NAME?</v>
          </cell>
          <cell r="W15" t="e">
            <v>#NAME?</v>
          </cell>
          <cell r="Y15" t="e">
            <v>#NAME?</v>
          </cell>
          <cell r="Z15" t="e">
            <v>#NAME?</v>
          </cell>
          <cell r="AA15" t="e">
            <v>#NAME?</v>
          </cell>
          <cell r="AB15" t="e">
            <v>#NAME?</v>
          </cell>
          <cell r="AC15" t="e">
            <v>#NAME?</v>
          </cell>
          <cell r="AE15" t="e">
            <v>#NAME?</v>
          </cell>
          <cell r="AF15" t="e">
            <v>#NAME?</v>
          </cell>
          <cell r="AG15" t="e">
            <v>#NAME?</v>
          </cell>
          <cell r="AH15" t="e">
            <v>#NAME?</v>
          </cell>
          <cell r="AJ15" t="e">
            <v>#NAME?</v>
          </cell>
          <cell r="AK15">
            <v>0</v>
          </cell>
          <cell r="AL15" t="e">
            <v>#NAME?</v>
          </cell>
          <cell r="AM15" t="e">
            <v>#NAME?</v>
          </cell>
          <cell r="AN15" t="e">
            <v>#NAME?</v>
          </cell>
          <cell r="AO15" t="e">
            <v>#NAME?</v>
          </cell>
          <cell r="AP15" t="e">
            <v>#NAME?</v>
          </cell>
          <cell r="AR15" t="e">
            <v>#NAME?</v>
          </cell>
          <cell r="AS15" t="e">
            <v>#NAME?</v>
          </cell>
          <cell r="AT15" t="e">
            <v>#NAME?</v>
          </cell>
          <cell r="AU15" t="e">
            <v>#NAME?</v>
          </cell>
          <cell r="AV15" t="e">
            <v>#NAME?</v>
          </cell>
          <cell r="AX15" t="e">
            <v>#NAME?</v>
          </cell>
          <cell r="AY15" t="e">
            <v>#NAME?</v>
          </cell>
          <cell r="AZ15" t="e">
            <v>#NAME?</v>
          </cell>
          <cell r="BA15" t="e">
            <v>#NAME?</v>
          </cell>
          <cell r="BB15" t="e">
            <v>#NAME?</v>
          </cell>
          <cell r="BD15" t="e">
            <v>#NAME?</v>
          </cell>
          <cell r="BE15" t="e">
            <v>#NAME?</v>
          </cell>
          <cell r="BF15" t="e">
            <v>#NAME?</v>
          </cell>
          <cell r="BG15" t="e">
            <v>#NAME?</v>
          </cell>
          <cell r="BH15" t="e">
            <v>#NAME?</v>
          </cell>
          <cell r="BJ15" t="e">
            <v>#NAME?</v>
          </cell>
          <cell r="BK15" t="e">
            <v>#NAME?</v>
          </cell>
          <cell r="BL15" t="e">
            <v>#NAME?</v>
          </cell>
          <cell r="BM15" t="e">
            <v>#NAME?</v>
          </cell>
        </row>
        <row r="16">
          <cell r="A16" t="str">
            <v>4.1.</v>
          </cell>
          <cell r="F16">
            <v>0</v>
          </cell>
          <cell r="G16" t="e">
            <v>#DIV/0!</v>
          </cell>
          <cell r="H16">
            <v>467.08516159531194</v>
          </cell>
          <cell r="I16">
            <v>1026.5946272929436</v>
          </cell>
          <cell r="M16" t="e">
            <v>#NAME?</v>
          </cell>
          <cell r="N16" t="e">
            <v>#NAME?</v>
          </cell>
          <cell r="O16" t="e">
            <v>#NAME?</v>
          </cell>
          <cell r="P16" t="e">
            <v>#NAME?</v>
          </cell>
          <cell r="S16" t="e">
            <v>#NAME?</v>
          </cell>
          <cell r="T16" t="e">
            <v>#NAME?</v>
          </cell>
          <cell r="U16" t="e">
            <v>#NAME?</v>
          </cell>
          <cell r="V16" t="e">
            <v>#NAME?</v>
          </cell>
          <cell r="Y16" t="e">
            <v>#NAME?</v>
          </cell>
          <cell r="Z16" t="e">
            <v>#NAME?</v>
          </cell>
          <cell r="AA16" t="e">
            <v>#NAME?</v>
          </cell>
          <cell r="AB16" t="e">
            <v>#NAME?</v>
          </cell>
          <cell r="AE16" t="e">
            <v>#NAME?</v>
          </cell>
          <cell r="AF16" t="e">
            <v>#NAME?</v>
          </cell>
          <cell r="AG16" t="e">
            <v>#NAME?</v>
          </cell>
          <cell r="AH16" t="e">
            <v>#NAME?</v>
          </cell>
          <cell r="AL16" t="e">
            <v>#NAME?</v>
          </cell>
          <cell r="AM16" t="e">
            <v>#NAME?</v>
          </cell>
          <cell r="AN16" t="e">
            <v>#NAME?</v>
          </cell>
          <cell r="AO16" t="e">
            <v>#NAME?</v>
          </cell>
          <cell r="AR16" t="e">
            <v>#NAME?</v>
          </cell>
          <cell r="AS16" t="e">
            <v>#NAME?</v>
          </cell>
          <cell r="AT16" t="e">
            <v>#NAME?</v>
          </cell>
          <cell r="AU16" t="e">
            <v>#NAME?</v>
          </cell>
          <cell r="AX16" t="e">
            <v>#NAME?</v>
          </cell>
          <cell r="AY16" t="e">
            <v>#NAME?</v>
          </cell>
          <cell r="AZ16" t="e">
            <v>#NAME?</v>
          </cell>
          <cell r="BA16" t="e">
            <v>#NAME?</v>
          </cell>
          <cell r="BD16" t="e">
            <v>#NAME?</v>
          </cell>
          <cell r="BE16" t="e">
            <v>#NAME?</v>
          </cell>
          <cell r="BF16" t="e">
            <v>#NAME?</v>
          </cell>
          <cell r="BG16" t="e">
            <v>#NAME?</v>
          </cell>
          <cell r="BJ16" t="e">
            <v>#NAME?</v>
          </cell>
          <cell r="BK16" t="e">
            <v>#NAME?</v>
          </cell>
          <cell r="BL16" t="e">
            <v>#NAME?</v>
          </cell>
          <cell r="BM16" t="e">
            <v>#NAME?</v>
          </cell>
        </row>
        <row r="17">
          <cell r="A17" t="str">
            <v>4.1.1.</v>
          </cell>
          <cell r="F17">
            <v>0</v>
          </cell>
          <cell r="G17" t="e">
            <v>#DIV/0!</v>
          </cell>
          <cell r="H17">
            <v>398.74065326185882</v>
          </cell>
          <cell r="I17">
            <v>701.34473561941525</v>
          </cell>
          <cell r="M17" t="e">
            <v>#NAME?</v>
          </cell>
          <cell r="N17" t="e">
            <v>#NAME?</v>
          </cell>
          <cell r="O17" t="e">
            <v>#NAME?</v>
          </cell>
          <cell r="P17" t="e">
            <v>#NAME?</v>
          </cell>
          <cell r="S17" t="e">
            <v>#NAME?</v>
          </cell>
          <cell r="T17" t="e">
            <v>#NAME?</v>
          </cell>
          <cell r="U17" t="e">
            <v>#NAME?</v>
          </cell>
          <cell r="V17" t="e">
            <v>#NAME?</v>
          </cell>
          <cell r="Y17" t="e">
            <v>#NAME?</v>
          </cell>
          <cell r="Z17" t="e">
            <v>#NAME?</v>
          </cell>
          <cell r="AA17" t="e">
            <v>#NAME?</v>
          </cell>
          <cell r="AB17" t="e">
            <v>#NAME?</v>
          </cell>
          <cell r="AE17" t="e">
            <v>#NAME?</v>
          </cell>
          <cell r="AF17" t="e">
            <v>#NAME?</v>
          </cell>
          <cell r="AG17" t="e">
            <v>#NAME?</v>
          </cell>
          <cell r="AH17" t="e">
            <v>#NAME?</v>
          </cell>
          <cell r="AL17" t="e">
            <v>#NAME?</v>
          </cell>
          <cell r="AM17" t="e">
            <v>#NAME?</v>
          </cell>
          <cell r="AN17" t="e">
            <v>#NAME?</v>
          </cell>
          <cell r="AO17" t="e">
            <v>#NAME?</v>
          </cell>
          <cell r="AR17" t="e">
            <v>#NAME?</v>
          </cell>
          <cell r="AS17" t="e">
            <v>#NAME?</v>
          </cell>
          <cell r="AT17" t="e">
            <v>#NAME?</v>
          </cell>
          <cell r="AU17" t="e">
            <v>#NAME?</v>
          </cell>
          <cell r="AX17" t="e">
            <v>#NAME?</v>
          </cell>
          <cell r="AY17" t="e">
            <v>#NAME?</v>
          </cell>
          <cell r="AZ17" t="e">
            <v>#NAME?</v>
          </cell>
          <cell r="BA17" t="e">
            <v>#NAME?</v>
          </cell>
          <cell r="BD17" t="e">
            <v>#NAME?</v>
          </cell>
          <cell r="BE17" t="e">
            <v>#NAME?</v>
          </cell>
          <cell r="BF17" t="e">
            <v>#NAME?</v>
          </cell>
          <cell r="BG17" t="e">
            <v>#NAME?</v>
          </cell>
          <cell r="BJ17" t="e">
            <v>#NAME?</v>
          </cell>
          <cell r="BK17" t="e">
            <v>#NAME?</v>
          </cell>
          <cell r="BL17" t="e">
            <v>#NAME?</v>
          </cell>
          <cell r="BM17" t="e">
            <v>#NAME?</v>
          </cell>
        </row>
        <row r="18">
          <cell r="A18" t="str">
            <v>4.1.1.1.</v>
          </cell>
          <cell r="F18">
            <v>0</v>
          </cell>
          <cell r="G18">
            <v>0</v>
          </cell>
          <cell r="H18">
            <v>2572.0552464842685</v>
          </cell>
          <cell r="I18">
            <v>4524.3127104483674</v>
          </cell>
          <cell r="M18">
            <v>0</v>
          </cell>
          <cell r="N18">
            <v>0</v>
          </cell>
          <cell r="O18">
            <v>2572.0552464842685</v>
          </cell>
          <cell r="P18">
            <v>4524.3127104483674</v>
          </cell>
          <cell r="S18">
            <v>0</v>
          </cell>
          <cell r="T18">
            <v>0</v>
          </cell>
          <cell r="U18">
            <v>2572.0552464842685</v>
          </cell>
          <cell r="V18">
            <v>4524.3127104483674</v>
          </cell>
          <cell r="Y18">
            <v>0</v>
          </cell>
          <cell r="Z18">
            <v>0</v>
          </cell>
          <cell r="AA18">
            <v>2572.0552464842685</v>
          </cell>
          <cell r="AB18">
            <v>4524.3127104483674</v>
          </cell>
          <cell r="AE18">
            <v>0</v>
          </cell>
          <cell r="AF18">
            <v>0</v>
          </cell>
          <cell r="AG18">
            <v>2572.0552464842685</v>
          </cell>
          <cell r="AH18">
            <v>4524.3127104483674</v>
          </cell>
          <cell r="AL18">
            <v>0</v>
          </cell>
          <cell r="AM18">
            <v>0</v>
          </cell>
          <cell r="AN18">
            <v>2572.0552464842685</v>
          </cell>
          <cell r="AO18">
            <v>4524.3127104483674</v>
          </cell>
          <cell r="AR18">
            <v>0</v>
          </cell>
          <cell r="AS18">
            <v>0</v>
          </cell>
          <cell r="AT18">
            <v>2572.0552464842685</v>
          </cell>
          <cell r="AU18">
            <v>4524.3127104483674</v>
          </cell>
          <cell r="AX18">
            <v>0</v>
          </cell>
          <cell r="AY18">
            <v>0</v>
          </cell>
          <cell r="AZ18">
            <v>2572.0552464842685</v>
          </cell>
          <cell r="BA18">
            <v>4524.3127104483674</v>
          </cell>
          <cell r="BD18">
            <v>0</v>
          </cell>
          <cell r="BE18">
            <v>0</v>
          </cell>
          <cell r="BF18">
            <v>2572.0552464842685</v>
          </cell>
          <cell r="BG18">
            <v>4524.3127104483674</v>
          </cell>
          <cell r="BJ18">
            <v>0</v>
          </cell>
          <cell r="BK18">
            <v>0</v>
          </cell>
          <cell r="BL18">
            <v>2572.0552464842685</v>
          </cell>
          <cell r="BM18">
            <v>4524.3127104483674</v>
          </cell>
        </row>
        <row r="19">
          <cell r="A19" t="str">
            <v>4.1.2.</v>
          </cell>
          <cell r="F19">
            <v>0</v>
          </cell>
          <cell r="G19">
            <v>0</v>
          </cell>
          <cell r="H19">
            <v>68.344508333453135</v>
          </cell>
          <cell r="I19">
            <v>325.24989167352845</v>
          </cell>
          <cell r="M19">
            <v>0</v>
          </cell>
          <cell r="N19">
            <v>0</v>
          </cell>
          <cell r="O19">
            <v>68.344508333453135</v>
          </cell>
          <cell r="P19">
            <v>325.24989167352845</v>
          </cell>
          <cell r="S19">
            <v>0</v>
          </cell>
          <cell r="T19">
            <v>0</v>
          </cell>
          <cell r="U19">
            <v>68.344508333453135</v>
          </cell>
          <cell r="V19">
            <v>325.24989167352845</v>
          </cell>
          <cell r="Y19">
            <v>0</v>
          </cell>
          <cell r="Z19">
            <v>0</v>
          </cell>
          <cell r="AA19">
            <v>68.344508333453135</v>
          </cell>
          <cell r="AB19">
            <v>325.24989167352845</v>
          </cell>
          <cell r="AE19">
            <v>0</v>
          </cell>
          <cell r="AF19">
            <v>0</v>
          </cell>
          <cell r="AG19">
            <v>68.344508333453135</v>
          </cell>
          <cell r="AH19">
            <v>325.24989167352845</v>
          </cell>
          <cell r="AL19">
            <v>0</v>
          </cell>
          <cell r="AM19">
            <v>0</v>
          </cell>
          <cell r="AN19">
            <v>68.344508333453135</v>
          </cell>
          <cell r="AO19">
            <v>325.24989167352845</v>
          </cell>
          <cell r="AR19">
            <v>0</v>
          </cell>
          <cell r="AS19">
            <v>0</v>
          </cell>
          <cell r="AT19">
            <v>68.344508333453135</v>
          </cell>
          <cell r="AU19">
            <v>325.24989167352845</v>
          </cell>
          <cell r="AX19">
            <v>0</v>
          </cell>
          <cell r="AY19">
            <v>0</v>
          </cell>
          <cell r="AZ19">
            <v>68.344508333453135</v>
          </cell>
          <cell r="BA19">
            <v>325.24989167352845</v>
          </cell>
          <cell r="BD19">
            <v>0</v>
          </cell>
          <cell r="BE19">
            <v>0</v>
          </cell>
          <cell r="BF19">
            <v>68.344508333453135</v>
          </cell>
          <cell r="BG19">
            <v>325.24989167352845</v>
          </cell>
          <cell r="BJ19">
            <v>0</v>
          </cell>
          <cell r="BK19">
            <v>0</v>
          </cell>
          <cell r="BL19">
            <v>68.344508333453135</v>
          </cell>
          <cell r="BM19">
            <v>325.24989167352845</v>
          </cell>
        </row>
        <row r="21">
          <cell r="A21" t="str">
            <v>4.2.</v>
          </cell>
        </row>
        <row r="22">
          <cell r="A22" t="str">
            <v>4.3</v>
          </cell>
        </row>
        <row r="24">
          <cell r="A24" t="str">
            <v>5.</v>
          </cell>
          <cell r="D24" t="e">
            <v>#NAME?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K24" t="e">
            <v>#NAME?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 t="e">
            <v>#NAME?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 t="e">
            <v>#NAME?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 t="e">
            <v>#NAME?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J24" t="e">
            <v>#NAME?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 t="e">
            <v>#NAME?</v>
          </cell>
          <cell r="AP24" t="e">
            <v>#NAME?</v>
          </cell>
          <cell r="AQ24">
            <v>0</v>
          </cell>
          <cell r="AR24" t="e">
            <v>#NAME?</v>
          </cell>
          <cell r="AS24" t="e">
            <v>#NAME?</v>
          </cell>
          <cell r="AT24" t="e">
            <v>#NAME?</v>
          </cell>
          <cell r="AU24" t="e">
            <v>#NAME?</v>
          </cell>
          <cell r="AV24" t="e">
            <v>#NAME?</v>
          </cell>
          <cell r="AW24">
            <v>0</v>
          </cell>
          <cell r="AX24">
            <v>0</v>
          </cell>
          <cell r="AY24">
            <v>0</v>
          </cell>
          <cell r="AZ24" t="e">
            <v>#NAME?</v>
          </cell>
          <cell r="BA24" t="e">
            <v>#NAME?</v>
          </cell>
          <cell r="BB24" t="e">
            <v>#NAME?</v>
          </cell>
          <cell r="BC24" t="e">
            <v>#NAME?</v>
          </cell>
          <cell r="BD24" t="e">
            <v>#NAME?</v>
          </cell>
          <cell r="BE24" t="e">
            <v>#NAME?</v>
          </cell>
          <cell r="BF24" t="e">
            <v>#NAME?</v>
          </cell>
          <cell r="BG24" t="e">
            <v>#NAME?</v>
          </cell>
          <cell r="BH24" t="e">
            <v>#NAME?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</row>
        <row r="25">
          <cell r="A25" t="str">
            <v>5.1.</v>
          </cell>
          <cell r="D25" t="e">
            <v>#NAME?</v>
          </cell>
          <cell r="E25">
            <v>0</v>
          </cell>
          <cell r="F25">
            <v>0</v>
          </cell>
          <cell r="G25">
            <v>0</v>
          </cell>
          <cell r="H25">
            <v>2572.0552464842685</v>
          </cell>
          <cell r="I25">
            <v>4524.3127104483674</v>
          </cell>
          <cell r="K25" t="e">
            <v>#NAME?</v>
          </cell>
          <cell r="L25">
            <v>0</v>
          </cell>
          <cell r="M25">
            <v>0</v>
          </cell>
          <cell r="N25">
            <v>0</v>
          </cell>
          <cell r="O25">
            <v>2572.0552464842685</v>
          </cell>
          <cell r="P25">
            <v>4524.3127104483674</v>
          </cell>
          <cell r="Q25" t="e">
            <v>#NAME?</v>
          </cell>
          <cell r="R25">
            <v>0</v>
          </cell>
          <cell r="S25">
            <v>0</v>
          </cell>
          <cell r="T25">
            <v>0</v>
          </cell>
          <cell r="U25">
            <v>2572.0552464842685</v>
          </cell>
          <cell r="V25">
            <v>4524.3127104483674</v>
          </cell>
          <cell r="W25" t="e">
            <v>#NAME?</v>
          </cell>
          <cell r="X25">
            <v>0</v>
          </cell>
          <cell r="Y25">
            <v>0</v>
          </cell>
          <cell r="Z25">
            <v>0</v>
          </cell>
          <cell r="AA25">
            <v>2572.0552464842685</v>
          </cell>
          <cell r="AB25">
            <v>4524.3127104483674</v>
          </cell>
          <cell r="AC25" t="e">
            <v>#NAME?</v>
          </cell>
          <cell r="AD25">
            <v>0</v>
          </cell>
          <cell r="AE25">
            <v>0</v>
          </cell>
          <cell r="AF25">
            <v>0</v>
          </cell>
          <cell r="AG25">
            <v>2572.0552464842685</v>
          </cell>
          <cell r="AH25">
            <v>4524.3127104483674</v>
          </cell>
          <cell r="AJ25" t="e">
            <v>#NAME?</v>
          </cell>
          <cell r="AK25">
            <v>0</v>
          </cell>
          <cell r="AL25">
            <v>0</v>
          </cell>
          <cell r="AM25">
            <v>0</v>
          </cell>
          <cell r="AN25">
            <v>2572.0552464842685</v>
          </cell>
          <cell r="AO25">
            <v>4524.3127104483674</v>
          </cell>
          <cell r="AP25" t="e">
            <v>#NAME?</v>
          </cell>
          <cell r="AQ25">
            <v>0</v>
          </cell>
          <cell r="AR25">
            <v>0</v>
          </cell>
          <cell r="AS25">
            <v>0</v>
          </cell>
          <cell r="AT25">
            <v>2572.0552464842685</v>
          </cell>
          <cell r="AU25">
            <v>4524.3127104483674</v>
          </cell>
          <cell r="AV25" t="e">
            <v>#NAME?</v>
          </cell>
          <cell r="AW25">
            <v>0</v>
          </cell>
          <cell r="AX25">
            <v>0</v>
          </cell>
          <cell r="AY25">
            <v>0</v>
          </cell>
          <cell r="AZ25">
            <v>2572.0552464842685</v>
          </cell>
          <cell r="BA25">
            <v>4524.3127104483674</v>
          </cell>
          <cell r="BB25" t="e">
            <v>#NAME?</v>
          </cell>
          <cell r="BC25" t="e">
            <v>#NAME?</v>
          </cell>
          <cell r="BD25" t="e">
            <v>#NAME?</v>
          </cell>
          <cell r="BE25" t="e">
            <v>#NAME?</v>
          </cell>
          <cell r="BF25" t="e">
            <v>#NAME?</v>
          </cell>
          <cell r="BG25" t="e">
            <v>#NAME?</v>
          </cell>
          <cell r="BH25" t="e">
            <v>#NAME?</v>
          </cell>
          <cell r="BJ25">
            <v>0</v>
          </cell>
          <cell r="BK25">
            <v>0</v>
          </cell>
          <cell r="BL25">
            <v>2572.0552464842685</v>
          </cell>
          <cell r="BM25">
            <v>4524.3127104483674</v>
          </cell>
        </row>
        <row r="26">
          <cell r="A26" t="str">
            <v>5.2.</v>
          </cell>
          <cell r="D26" t="e">
            <v>#NAME?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K26" t="e">
            <v>#NAME?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 t="e">
            <v>#NAME?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 t="e">
            <v>#NAME?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 t="e">
            <v>#NAME?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J26" t="e">
            <v>#NAME?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325.24989167352845</v>
          </cell>
          <cell r="AP26" t="e">
            <v>#NAME?</v>
          </cell>
          <cell r="AQ26">
            <v>0</v>
          </cell>
          <cell r="AR26">
            <v>0</v>
          </cell>
          <cell r="AS26">
            <v>0</v>
          </cell>
          <cell r="AT26">
            <v>68.344508333453135</v>
          </cell>
          <cell r="AU26">
            <v>325.24989167352845</v>
          </cell>
          <cell r="AV26" t="e">
            <v>#NAME?</v>
          </cell>
          <cell r="AW26">
            <v>0</v>
          </cell>
          <cell r="AX26">
            <v>0</v>
          </cell>
          <cell r="AY26">
            <v>0</v>
          </cell>
          <cell r="AZ26">
            <v>68.344508333453135</v>
          </cell>
          <cell r="BA26">
            <v>325.24989167352845</v>
          </cell>
          <cell r="BB26" t="e">
            <v>#NAME?</v>
          </cell>
          <cell r="BC26" t="e">
            <v>#NAME?</v>
          </cell>
          <cell r="BD26" t="e">
            <v>#NAME?</v>
          </cell>
          <cell r="BE26" t="e">
            <v>#NAME?</v>
          </cell>
          <cell r="BF26" t="e">
            <v>#NAME?</v>
          </cell>
          <cell r="BG26" t="e">
            <v>#NAME?</v>
          </cell>
          <cell r="BH26" t="e">
            <v>#NAME?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</row>
        <row r="28">
          <cell r="A28" t="str">
            <v>6.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J28" t="e">
            <v>#NAME?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 t="e">
            <v>#NAME?</v>
          </cell>
          <cell r="AP28" t="e">
            <v>#NAME?</v>
          </cell>
          <cell r="AQ28">
            <v>0</v>
          </cell>
          <cell r="AR28" t="e">
            <v>#NAME?</v>
          </cell>
          <cell r="AS28" t="e">
            <v>#NAME?</v>
          </cell>
          <cell r="AT28" t="e">
            <v>#NAME?</v>
          </cell>
          <cell r="AU28" t="e">
            <v>#NAME?</v>
          </cell>
          <cell r="AV28" t="e">
            <v>#NAME?</v>
          </cell>
          <cell r="AW28">
            <v>0</v>
          </cell>
          <cell r="AX28">
            <v>0</v>
          </cell>
          <cell r="AY28">
            <v>0</v>
          </cell>
          <cell r="AZ28" t="e">
            <v>#NAME?</v>
          </cell>
          <cell r="BA28" t="e">
            <v>#NAME?</v>
          </cell>
          <cell r="BB28" t="e">
            <v>#NAME?</v>
          </cell>
          <cell r="BC28">
            <v>0</v>
          </cell>
          <cell r="BD28" t="e">
            <v>#NAME?</v>
          </cell>
          <cell r="BE28" t="e">
            <v>#NAME?</v>
          </cell>
          <cell r="BF28" t="e">
            <v>#NAME?</v>
          </cell>
          <cell r="BG28" t="e">
            <v>#NAME?</v>
          </cell>
          <cell r="BH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</row>
        <row r="30">
          <cell r="A30" t="str">
            <v>6.1.</v>
          </cell>
          <cell r="D30" t="e">
            <v>#NAME?</v>
          </cell>
          <cell r="E30" t="e">
            <v>#NAME?</v>
          </cell>
          <cell r="F30" t="e">
            <v>#NAME?</v>
          </cell>
          <cell r="G30" t="e">
            <v>#NAME?</v>
          </cell>
          <cell r="H30" t="e">
            <v>#NAME?</v>
          </cell>
          <cell r="I30" t="e">
            <v>#NAME?</v>
          </cell>
          <cell r="K30" t="e">
            <v>#NAME?</v>
          </cell>
          <cell r="L30" t="e">
            <v>#NAME?</v>
          </cell>
          <cell r="M30" t="e">
            <v>#NAME?</v>
          </cell>
          <cell r="N30" t="e">
            <v>#NAME?</v>
          </cell>
          <cell r="O30" t="e">
            <v>#NAME?</v>
          </cell>
          <cell r="P30" t="e">
            <v>#NAME?</v>
          </cell>
          <cell r="Q30" t="e">
            <v>#NAME?</v>
          </cell>
          <cell r="R30" t="e">
            <v>#NAME?</v>
          </cell>
          <cell r="S30" t="e">
            <v>#NAME?</v>
          </cell>
          <cell r="T30" t="e">
            <v>#NAME?</v>
          </cell>
          <cell r="U30" t="e">
            <v>#NAME?</v>
          </cell>
          <cell r="V30" t="e">
            <v>#NAME?</v>
          </cell>
          <cell r="W30" t="e">
            <v>#NAME?</v>
          </cell>
          <cell r="X30" t="e">
            <v>#NAME?</v>
          </cell>
          <cell r="Y30" t="e">
            <v>#NAME?</v>
          </cell>
          <cell r="Z30" t="e">
            <v>#NAME?</v>
          </cell>
          <cell r="AA30" t="e">
            <v>#NAME?</v>
          </cell>
          <cell r="AB30" t="e">
            <v>#NAME?</v>
          </cell>
          <cell r="AC30" t="e">
            <v>#NAME?</v>
          </cell>
          <cell r="AD30" t="e">
            <v>#NAME?</v>
          </cell>
          <cell r="AE30" t="e">
            <v>#NAME?</v>
          </cell>
          <cell r="AF30" t="e">
            <v>#NAME?</v>
          </cell>
          <cell r="AG30" t="e">
            <v>#NAME?</v>
          </cell>
          <cell r="AH30" t="e">
            <v>#NAME?</v>
          </cell>
          <cell r="AJ30" t="e">
            <v>#NAME?</v>
          </cell>
          <cell r="AK30" t="e">
            <v>#NAME?</v>
          </cell>
          <cell r="AL30" t="e">
            <v>#NAME?</v>
          </cell>
          <cell r="AM30" t="e">
            <v>#NAME?</v>
          </cell>
          <cell r="AN30" t="e">
            <v>#NAME?</v>
          </cell>
          <cell r="AO30" t="e">
            <v>#NAME?</v>
          </cell>
          <cell r="AP30" t="e">
            <v>#NAME?</v>
          </cell>
          <cell r="AQ30" t="e">
            <v>#NAME?</v>
          </cell>
          <cell r="AR30" t="e">
            <v>#NAME?</v>
          </cell>
          <cell r="AS30" t="e">
            <v>#NAME?</v>
          </cell>
          <cell r="AT30" t="e">
            <v>#NAME?</v>
          </cell>
          <cell r="AU30" t="e">
            <v>#NAME?</v>
          </cell>
          <cell r="AV30" t="e">
            <v>#NAME?</v>
          </cell>
          <cell r="AW30" t="e">
            <v>#NAME?</v>
          </cell>
          <cell r="AX30" t="e">
            <v>#NAME?</v>
          </cell>
          <cell r="AY30" t="e">
            <v>#NAME?</v>
          </cell>
          <cell r="AZ30" t="e">
            <v>#NAME?</v>
          </cell>
          <cell r="BA30" t="e">
            <v>#NAME?</v>
          </cell>
          <cell r="BB30" t="e">
            <v>#NAME?</v>
          </cell>
          <cell r="BC30" t="e">
            <v>#NAME?</v>
          </cell>
          <cell r="BD30" t="e">
            <v>#NAME?</v>
          </cell>
          <cell r="BE30" t="e">
            <v>#NAME?</v>
          </cell>
          <cell r="BF30" t="e">
            <v>#NAME?</v>
          </cell>
          <cell r="BG30" t="e">
            <v>#NAME?</v>
          </cell>
          <cell r="BH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</row>
        <row r="31">
          <cell r="A31" t="str">
            <v>6.2.</v>
          </cell>
          <cell r="D31" t="e">
            <v>#DIV/0!</v>
          </cell>
          <cell r="E31">
            <v>0</v>
          </cell>
          <cell r="F31">
            <v>0</v>
          </cell>
          <cell r="G31" t="e">
            <v>#DIV/0!</v>
          </cell>
          <cell r="H31">
            <v>0</v>
          </cell>
          <cell r="I31">
            <v>0</v>
          </cell>
          <cell r="K31" t="e">
            <v>#NAME?</v>
          </cell>
          <cell r="L31">
            <v>0</v>
          </cell>
          <cell r="M31" t="e">
            <v>#NAME?</v>
          </cell>
          <cell r="N31" t="e">
            <v>#NAME?</v>
          </cell>
          <cell r="O31" t="e">
            <v>#NAME?</v>
          </cell>
          <cell r="P31" t="e">
            <v>#NAME?</v>
          </cell>
          <cell r="Q31" t="e">
            <v>#NAME?</v>
          </cell>
          <cell r="R31">
            <v>0</v>
          </cell>
          <cell r="S31" t="e">
            <v>#NAME?</v>
          </cell>
          <cell r="T31" t="e">
            <v>#NAME?</v>
          </cell>
          <cell r="U31" t="e">
            <v>#NAME?</v>
          </cell>
          <cell r="V31" t="e">
            <v>#NAME?</v>
          </cell>
          <cell r="W31" t="e">
            <v>#NAME?</v>
          </cell>
          <cell r="X31">
            <v>0</v>
          </cell>
          <cell r="Y31" t="e">
            <v>#NAME?</v>
          </cell>
          <cell r="Z31" t="e">
            <v>#NAME?</v>
          </cell>
          <cell r="AA31" t="e">
            <v>#NAME?</v>
          </cell>
          <cell r="AB31" t="e">
            <v>#NAME?</v>
          </cell>
          <cell r="AC31" t="e">
            <v>#NAME?</v>
          </cell>
          <cell r="AD31">
            <v>0</v>
          </cell>
          <cell r="AE31" t="e">
            <v>#NAME?</v>
          </cell>
          <cell r="AF31" t="e">
            <v>#NAME?</v>
          </cell>
          <cell r="AG31" t="e">
            <v>#NAME?</v>
          </cell>
          <cell r="AH31" t="e">
            <v>#NAME?</v>
          </cell>
          <cell r="AJ31" t="e">
            <v>#NAME?</v>
          </cell>
          <cell r="AK31">
            <v>0</v>
          </cell>
          <cell r="AL31" t="e">
            <v>#NAME?</v>
          </cell>
          <cell r="AM31" t="e">
            <v>#NAME?</v>
          </cell>
          <cell r="AN31" t="e">
            <v>#NAME?</v>
          </cell>
          <cell r="AO31" t="e">
            <v>#NAME?</v>
          </cell>
          <cell r="AP31" t="e">
            <v>#NAME?</v>
          </cell>
          <cell r="AQ31">
            <v>0</v>
          </cell>
          <cell r="AR31" t="e">
            <v>#NAME?</v>
          </cell>
          <cell r="AS31" t="e">
            <v>#NAME?</v>
          </cell>
          <cell r="AT31" t="e">
            <v>#NAME?</v>
          </cell>
          <cell r="AU31" t="e">
            <v>#NAME?</v>
          </cell>
          <cell r="AV31" t="e">
            <v>#NAME?</v>
          </cell>
          <cell r="AW31">
            <v>0</v>
          </cell>
          <cell r="AX31" t="e">
            <v>#NAME?</v>
          </cell>
          <cell r="AY31" t="e">
            <v>#NAME?</v>
          </cell>
          <cell r="AZ31" t="e">
            <v>#NAME?</v>
          </cell>
          <cell r="BA31" t="e">
            <v>#NAME?</v>
          </cell>
          <cell r="BB31" t="e">
            <v>#DIV/0!</v>
          </cell>
          <cell r="BC31">
            <v>0</v>
          </cell>
          <cell r="BD31" t="e">
            <v>#NAME?</v>
          </cell>
          <cell r="BE31" t="e">
            <v>#DIV/0!</v>
          </cell>
          <cell r="BF31" t="e">
            <v>#NAME?</v>
          </cell>
          <cell r="BG31" t="e">
            <v>#NAME?</v>
          </cell>
          <cell r="BH31" t="e">
            <v>#NAME?</v>
          </cell>
          <cell r="BJ31" t="e">
            <v>#NAME?</v>
          </cell>
          <cell r="BK31" t="e">
            <v>#NAME?</v>
          </cell>
          <cell r="BL31" t="e">
            <v>#NAME?</v>
          </cell>
          <cell r="BM31" t="e">
            <v>#NAME?</v>
          </cell>
        </row>
        <row r="32">
          <cell r="A32" t="str">
            <v>6.2.1.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J32">
            <v>91846.991659796025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91846.991659796025</v>
          </cell>
          <cell r="AP32">
            <v>59797.09921046337</v>
          </cell>
          <cell r="AQ32">
            <v>0</v>
          </cell>
          <cell r="AR32">
            <v>0</v>
          </cell>
          <cell r="AS32">
            <v>0</v>
          </cell>
          <cell r="AT32">
            <v>33077.170109699648</v>
          </cell>
          <cell r="AU32">
            <v>26719.929100763722</v>
          </cell>
          <cell r="AV32">
            <v>8236.1960685696085</v>
          </cell>
          <cell r="AW32">
            <v>0</v>
          </cell>
          <cell r="AX32">
            <v>0</v>
          </cell>
          <cell r="AY32">
            <v>0</v>
          </cell>
          <cell r="AZ32">
            <v>4522.4928054412603</v>
          </cell>
          <cell r="BA32">
            <v>3713.7032631283478</v>
          </cell>
          <cell r="BB32">
            <v>151644.09087025939</v>
          </cell>
          <cell r="BC32">
            <v>0</v>
          </cell>
          <cell r="BD32">
            <v>0</v>
          </cell>
          <cell r="BE32">
            <v>0</v>
          </cell>
          <cell r="BF32">
            <v>33077.170109699648</v>
          </cell>
          <cell r="BG32">
            <v>118566.92076055975</v>
          </cell>
          <cell r="BH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</row>
        <row r="33">
          <cell r="A33" t="str">
            <v>То же п.6</v>
          </cell>
        </row>
        <row r="34">
          <cell r="A34" t="str">
            <v>6.3.1.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J34">
            <v>198029.16733632502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198029.16733632502</v>
          </cell>
          <cell r="AP34">
            <v>250621.04907482694</v>
          </cell>
          <cell r="AQ34">
            <v>0</v>
          </cell>
          <cell r="AR34">
            <v>0</v>
          </cell>
          <cell r="AS34">
            <v>0</v>
          </cell>
          <cell r="AT34">
            <v>192981.30514371468</v>
          </cell>
          <cell r="AU34">
            <v>57639.743931112243</v>
          </cell>
          <cell r="AV34">
            <v>38429.49742689421</v>
          </cell>
          <cell r="AW34">
            <v>0</v>
          </cell>
          <cell r="AX34">
            <v>0</v>
          </cell>
          <cell r="AY34">
            <v>0</v>
          </cell>
          <cell r="AZ34">
            <v>30453.134118373739</v>
          </cell>
          <cell r="BA34">
            <v>7976.363308520471</v>
          </cell>
          <cell r="BB34">
            <v>448650.21641115192</v>
          </cell>
          <cell r="BC34">
            <v>0</v>
          </cell>
          <cell r="BD34">
            <v>0</v>
          </cell>
          <cell r="BE34">
            <v>0</v>
          </cell>
          <cell r="BF34">
            <v>192981.30514371468</v>
          </cell>
          <cell r="BG34">
            <v>255668.91126743727</v>
          </cell>
          <cell r="BH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</row>
        <row r="35">
          <cell r="A35" t="str">
            <v>6.3.2.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J35">
            <v>91846.991659796025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91846.991659796025</v>
          </cell>
          <cell r="AP35">
            <v>59797.09921046337</v>
          </cell>
          <cell r="AQ35">
            <v>0</v>
          </cell>
          <cell r="AR35">
            <v>0</v>
          </cell>
          <cell r="AS35">
            <v>0</v>
          </cell>
          <cell r="AT35">
            <v>33077.170109699648</v>
          </cell>
          <cell r="AU35">
            <v>26719.929100763722</v>
          </cell>
          <cell r="AV35">
            <v>8236.1960685696085</v>
          </cell>
          <cell r="AW35">
            <v>0</v>
          </cell>
          <cell r="AX35">
            <v>0</v>
          </cell>
          <cell r="AY35">
            <v>0</v>
          </cell>
          <cell r="AZ35">
            <v>4522.4928054412603</v>
          </cell>
          <cell r="BA35">
            <v>3713.7032631283478</v>
          </cell>
          <cell r="BB35">
            <v>151644.09087025939</v>
          </cell>
          <cell r="BC35">
            <v>0</v>
          </cell>
          <cell r="BD35">
            <v>0</v>
          </cell>
          <cell r="BE35">
            <v>0</v>
          </cell>
          <cell r="BF35">
            <v>33077.170109699648</v>
          </cell>
          <cell r="BG35">
            <v>118566.92076055975</v>
          </cell>
          <cell r="BH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</row>
      </sheetData>
      <sheetData sheetId="18" refreshError="1">
        <row r="6">
          <cell r="A6">
            <v>1</v>
          </cell>
          <cell r="B6">
            <v>2</v>
          </cell>
          <cell r="C6">
            <v>3</v>
          </cell>
          <cell r="D6">
            <v>4</v>
          </cell>
          <cell r="F6">
            <v>5</v>
          </cell>
          <cell r="G6">
            <v>6</v>
          </cell>
          <cell r="H6" t="str">
            <v>7 = 5 * 6 /100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F34">
            <v>140</v>
          </cell>
          <cell r="G34">
            <v>2.6</v>
          </cell>
          <cell r="H34">
            <v>3.64</v>
          </cell>
        </row>
        <row r="35">
          <cell r="F35">
            <v>110</v>
          </cell>
          <cell r="G35">
            <v>53.2</v>
          </cell>
          <cell r="H35">
            <v>58.52</v>
          </cell>
        </row>
        <row r="36">
          <cell r="H36">
            <v>0</v>
          </cell>
        </row>
        <row r="37">
          <cell r="F37">
            <v>350</v>
          </cell>
          <cell r="G37">
            <v>497.2</v>
          </cell>
          <cell r="H37">
            <v>1740.2</v>
          </cell>
        </row>
        <row r="38">
          <cell r="H38">
            <v>0</v>
          </cell>
        </row>
        <row r="39">
          <cell r="H39">
            <v>1802.3600000000001</v>
          </cell>
        </row>
        <row r="40">
          <cell r="H40">
            <v>0</v>
          </cell>
        </row>
        <row r="41">
          <cell r="F41">
            <v>220</v>
          </cell>
          <cell r="G41">
            <v>91.9</v>
          </cell>
          <cell r="H41">
            <v>202.18</v>
          </cell>
        </row>
        <row r="42">
          <cell r="F42">
            <v>150</v>
          </cell>
          <cell r="G42">
            <v>381.5</v>
          </cell>
          <cell r="H42">
            <v>572.25</v>
          </cell>
        </row>
        <row r="43">
          <cell r="F43">
            <v>270</v>
          </cell>
          <cell r="G43">
            <v>250.9</v>
          </cell>
          <cell r="H43">
            <v>677.43</v>
          </cell>
        </row>
        <row r="44">
          <cell r="H44">
            <v>1451.8600000000001</v>
          </cell>
        </row>
      </sheetData>
      <sheetData sheetId="19" refreshError="1">
        <row r="6">
          <cell r="A6">
            <v>1</v>
          </cell>
          <cell r="B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 t="str">
            <v>7=5*6</v>
          </cell>
        </row>
        <row r="7">
          <cell r="F7">
            <v>1000</v>
          </cell>
          <cell r="G7">
            <v>0</v>
          </cell>
          <cell r="H7">
            <v>0</v>
          </cell>
        </row>
        <row r="8">
          <cell r="F8">
            <v>600</v>
          </cell>
          <cell r="G8">
            <v>0</v>
          </cell>
          <cell r="H8">
            <v>0</v>
          </cell>
        </row>
        <row r="9">
          <cell r="F9">
            <v>500</v>
          </cell>
          <cell r="G9">
            <v>0</v>
          </cell>
          <cell r="H9">
            <v>0</v>
          </cell>
        </row>
        <row r="10">
          <cell r="F10">
            <v>250</v>
          </cell>
          <cell r="G10">
            <v>0</v>
          </cell>
          <cell r="H10">
            <v>0</v>
          </cell>
        </row>
        <row r="11">
          <cell r="F11">
            <v>210</v>
          </cell>
          <cell r="G11">
            <v>0</v>
          </cell>
          <cell r="H11">
            <v>0</v>
          </cell>
        </row>
        <row r="12">
          <cell r="F12">
            <v>105</v>
          </cell>
          <cell r="G12">
            <v>0</v>
          </cell>
          <cell r="H12">
            <v>0</v>
          </cell>
        </row>
        <row r="13">
          <cell r="F13">
            <v>75</v>
          </cell>
          <cell r="G13">
            <v>0</v>
          </cell>
          <cell r="H13">
            <v>0</v>
          </cell>
        </row>
        <row r="14">
          <cell r="F14">
            <v>60</v>
          </cell>
          <cell r="G14">
            <v>0</v>
          </cell>
          <cell r="H14">
            <v>0</v>
          </cell>
        </row>
        <row r="15">
          <cell r="F15">
            <v>43</v>
          </cell>
          <cell r="G15">
            <v>0</v>
          </cell>
          <cell r="H15">
            <v>0</v>
          </cell>
        </row>
        <row r="16">
          <cell r="F16">
            <v>28</v>
          </cell>
          <cell r="G16">
            <v>0</v>
          </cell>
          <cell r="H16">
            <v>0</v>
          </cell>
        </row>
        <row r="17">
          <cell r="F17">
            <v>18</v>
          </cell>
          <cell r="G17">
            <v>0</v>
          </cell>
          <cell r="H17">
            <v>0</v>
          </cell>
        </row>
        <row r="18">
          <cell r="F18">
            <v>14</v>
          </cell>
          <cell r="G18">
            <v>0</v>
          </cell>
          <cell r="H18">
            <v>0</v>
          </cell>
        </row>
        <row r="19">
          <cell r="F19">
            <v>7.8</v>
          </cell>
          <cell r="G19">
            <v>0</v>
          </cell>
          <cell r="H19">
            <v>0</v>
          </cell>
        </row>
        <row r="20">
          <cell r="F20">
            <v>2.1</v>
          </cell>
          <cell r="G20">
            <v>0</v>
          </cell>
          <cell r="H20">
            <v>0</v>
          </cell>
        </row>
        <row r="21">
          <cell r="F21">
            <v>1</v>
          </cell>
          <cell r="G21">
            <v>0</v>
          </cell>
          <cell r="H21">
            <v>0</v>
          </cell>
        </row>
        <row r="22">
          <cell r="F22">
            <v>180</v>
          </cell>
          <cell r="G22">
            <v>0</v>
          </cell>
          <cell r="H22">
            <v>0</v>
          </cell>
        </row>
        <row r="23">
          <cell r="F23">
            <v>130</v>
          </cell>
          <cell r="G23">
            <v>0</v>
          </cell>
          <cell r="H23">
            <v>0</v>
          </cell>
        </row>
        <row r="24">
          <cell r="F24">
            <v>88</v>
          </cell>
          <cell r="G24">
            <v>0</v>
          </cell>
          <cell r="H24">
            <v>0</v>
          </cell>
        </row>
        <row r="25">
          <cell r="F25">
            <v>66</v>
          </cell>
          <cell r="G25">
            <v>0</v>
          </cell>
          <cell r="H25">
            <v>0</v>
          </cell>
        </row>
        <row r="26">
          <cell r="F26">
            <v>43</v>
          </cell>
          <cell r="G26">
            <v>0</v>
          </cell>
          <cell r="H26">
            <v>0</v>
          </cell>
        </row>
        <row r="27">
          <cell r="F27">
            <v>26</v>
          </cell>
          <cell r="G27">
            <v>0</v>
          </cell>
          <cell r="H27">
            <v>0</v>
          </cell>
        </row>
        <row r="28">
          <cell r="F28">
            <v>11</v>
          </cell>
          <cell r="G28">
            <v>0</v>
          </cell>
          <cell r="H28">
            <v>0</v>
          </cell>
        </row>
        <row r="29">
          <cell r="F29">
            <v>5.5</v>
          </cell>
          <cell r="G29">
            <v>0</v>
          </cell>
          <cell r="H29">
            <v>0</v>
          </cell>
        </row>
        <row r="30">
          <cell r="F30">
            <v>23</v>
          </cell>
          <cell r="G30">
            <v>0</v>
          </cell>
          <cell r="H30">
            <v>0</v>
          </cell>
        </row>
        <row r="31">
          <cell r="F31">
            <v>14</v>
          </cell>
          <cell r="G31">
            <v>0</v>
          </cell>
          <cell r="H31">
            <v>0</v>
          </cell>
        </row>
        <row r="32">
          <cell r="F32">
            <v>6.4</v>
          </cell>
          <cell r="G32">
            <v>0</v>
          </cell>
          <cell r="H32">
            <v>0</v>
          </cell>
        </row>
        <row r="33">
          <cell r="F33">
            <v>3.1</v>
          </cell>
          <cell r="G33">
            <v>253</v>
          </cell>
          <cell r="H33">
            <v>784.30000000000007</v>
          </cell>
        </row>
        <row r="34">
          <cell r="F34">
            <v>35</v>
          </cell>
          <cell r="G34">
            <v>0</v>
          </cell>
          <cell r="H34">
            <v>0</v>
          </cell>
        </row>
        <row r="35">
          <cell r="F35">
            <v>24</v>
          </cell>
          <cell r="G35">
            <v>0</v>
          </cell>
          <cell r="H35">
            <v>0</v>
          </cell>
        </row>
        <row r="36">
          <cell r="F36">
            <v>19</v>
          </cell>
          <cell r="G36">
            <v>0</v>
          </cell>
          <cell r="H36">
            <v>0</v>
          </cell>
        </row>
        <row r="37">
          <cell r="F37">
            <v>9.5</v>
          </cell>
          <cell r="G37">
            <v>0</v>
          </cell>
          <cell r="H37">
            <v>0</v>
          </cell>
        </row>
        <row r="38">
          <cell r="F38">
            <v>4.7</v>
          </cell>
          <cell r="G38">
            <v>0</v>
          </cell>
          <cell r="H38">
            <v>0</v>
          </cell>
        </row>
        <row r="39">
          <cell r="F39">
            <v>2.2999999999999998</v>
          </cell>
          <cell r="G39">
            <v>1222</v>
          </cell>
          <cell r="H39">
            <v>2810.6</v>
          </cell>
        </row>
        <row r="40">
          <cell r="F40">
            <v>2.6</v>
          </cell>
          <cell r="G40">
            <v>0</v>
          </cell>
          <cell r="H40">
            <v>0</v>
          </cell>
        </row>
        <row r="41">
          <cell r="F41">
            <v>48</v>
          </cell>
          <cell r="G41">
            <v>0</v>
          </cell>
          <cell r="H41">
            <v>0</v>
          </cell>
        </row>
        <row r="42">
          <cell r="F42">
            <v>2.4</v>
          </cell>
          <cell r="G42">
            <v>0</v>
          </cell>
          <cell r="H42">
            <v>0</v>
          </cell>
        </row>
        <row r="43">
          <cell r="F43">
            <v>2.4</v>
          </cell>
          <cell r="G43">
            <v>0</v>
          </cell>
          <cell r="H43">
            <v>0</v>
          </cell>
        </row>
        <row r="44">
          <cell r="F44">
            <v>2.5</v>
          </cell>
          <cell r="G44">
            <v>0</v>
          </cell>
          <cell r="H44">
            <v>0</v>
          </cell>
        </row>
        <row r="45">
          <cell r="F45">
            <v>2.2999999999999998</v>
          </cell>
          <cell r="G45">
            <v>236</v>
          </cell>
          <cell r="H45">
            <v>542.79999999999995</v>
          </cell>
        </row>
        <row r="46">
          <cell r="F46">
            <v>3</v>
          </cell>
          <cell r="G46">
            <v>242</v>
          </cell>
          <cell r="H46">
            <v>726</v>
          </cell>
        </row>
        <row r="47">
          <cell r="F47">
            <v>3.5</v>
          </cell>
          <cell r="G47">
            <v>0</v>
          </cell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4863.7</v>
          </cell>
        </row>
        <row r="51">
          <cell r="H51">
            <v>0</v>
          </cell>
        </row>
      </sheetData>
      <sheetData sheetId="20"/>
      <sheetData sheetId="21" refreshError="1">
        <row r="7">
          <cell r="A7">
            <v>1</v>
          </cell>
          <cell r="B7">
            <v>2</v>
          </cell>
          <cell r="F7">
            <v>3</v>
          </cell>
          <cell r="G7">
            <v>4</v>
          </cell>
          <cell r="H7">
            <v>5</v>
          </cell>
          <cell r="I7">
            <v>7</v>
          </cell>
          <cell r="J7">
            <v>8</v>
          </cell>
          <cell r="K7">
            <v>9</v>
          </cell>
          <cell r="L7">
            <v>11</v>
          </cell>
          <cell r="M7">
            <v>12</v>
          </cell>
          <cell r="N7" t="str">
            <v>13</v>
          </cell>
          <cell r="O7" t="str">
            <v>14</v>
          </cell>
        </row>
        <row r="8">
          <cell r="F8" t="e">
            <v>#DIV/0!</v>
          </cell>
          <cell r="G8" t="e">
            <v>#DIV/0!</v>
          </cell>
        </row>
        <row r="9">
          <cell r="F9" t="e">
            <v>#DIV/0!</v>
          </cell>
          <cell r="G9" t="e">
            <v>#DIV/0!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 t="e">
            <v>#DIV/0!</v>
          </cell>
          <cell r="O9">
            <v>0</v>
          </cell>
        </row>
        <row r="10">
          <cell r="F10" t="e">
            <v>#DIV/0!</v>
          </cell>
          <cell r="G10" t="e">
            <v>#DIV/0!</v>
          </cell>
          <cell r="H10">
            <v>0</v>
          </cell>
          <cell r="I10">
            <v>0</v>
          </cell>
          <cell r="K10">
            <v>0</v>
          </cell>
          <cell r="L10">
            <v>0</v>
          </cell>
          <cell r="M10">
            <v>0</v>
          </cell>
          <cell r="N10" t="e">
            <v>#DIV/0!</v>
          </cell>
          <cell r="O10">
            <v>0</v>
          </cell>
        </row>
        <row r="11">
          <cell r="H11">
            <v>0</v>
          </cell>
          <cell r="I11">
            <v>0</v>
          </cell>
          <cell r="K11">
            <v>0</v>
          </cell>
          <cell r="L11">
            <v>0</v>
          </cell>
          <cell r="M11">
            <v>0</v>
          </cell>
          <cell r="O11">
            <v>0</v>
          </cell>
        </row>
        <row r="12">
          <cell r="I12">
            <v>0</v>
          </cell>
          <cell r="L12">
            <v>0</v>
          </cell>
          <cell r="M12">
            <v>0</v>
          </cell>
          <cell r="O12">
            <v>0</v>
          </cell>
        </row>
        <row r="13">
          <cell r="I13">
            <v>0</v>
          </cell>
          <cell r="L13">
            <v>0</v>
          </cell>
          <cell r="M13">
            <v>0</v>
          </cell>
          <cell r="O13">
            <v>0</v>
          </cell>
        </row>
        <row r="14">
          <cell r="I14">
            <v>0</v>
          </cell>
          <cell r="L14">
            <v>0</v>
          </cell>
          <cell r="M14">
            <v>0</v>
          </cell>
          <cell r="O14">
            <v>0</v>
          </cell>
        </row>
        <row r="15">
          <cell r="I15">
            <v>0</v>
          </cell>
          <cell r="L15">
            <v>0</v>
          </cell>
          <cell r="M15">
            <v>0</v>
          </cell>
          <cell r="O15">
            <v>0</v>
          </cell>
        </row>
        <row r="16">
          <cell r="I16">
            <v>0</v>
          </cell>
          <cell r="L16">
            <v>0</v>
          </cell>
          <cell r="M16">
            <v>0</v>
          </cell>
          <cell r="O16">
            <v>0</v>
          </cell>
        </row>
        <row r="17">
          <cell r="H17">
            <v>0</v>
          </cell>
          <cell r="I17">
            <v>0</v>
          </cell>
          <cell r="K17">
            <v>0</v>
          </cell>
          <cell r="L17">
            <v>0</v>
          </cell>
          <cell r="M17">
            <v>0</v>
          </cell>
          <cell r="O17">
            <v>0</v>
          </cell>
        </row>
        <row r="18">
          <cell r="I18">
            <v>0</v>
          </cell>
          <cell r="L18">
            <v>0</v>
          </cell>
          <cell r="M18">
            <v>0</v>
          </cell>
          <cell r="O18">
            <v>0</v>
          </cell>
        </row>
        <row r="19">
          <cell r="I19">
            <v>0</v>
          </cell>
          <cell r="L19">
            <v>0</v>
          </cell>
          <cell r="M19">
            <v>0</v>
          </cell>
          <cell r="O19">
            <v>0</v>
          </cell>
        </row>
        <row r="20">
          <cell r="I20">
            <v>0</v>
          </cell>
          <cell r="L20">
            <v>0</v>
          </cell>
          <cell r="M20">
            <v>0</v>
          </cell>
          <cell r="O20">
            <v>0</v>
          </cell>
        </row>
        <row r="21">
          <cell r="I21">
            <v>0</v>
          </cell>
          <cell r="L21">
            <v>0</v>
          </cell>
          <cell r="M21">
            <v>0</v>
          </cell>
          <cell r="O21">
            <v>0</v>
          </cell>
        </row>
        <row r="22">
          <cell r="I22">
            <v>0</v>
          </cell>
          <cell r="L22">
            <v>0</v>
          </cell>
          <cell r="M22">
            <v>0</v>
          </cell>
          <cell r="O22">
            <v>0</v>
          </cell>
        </row>
        <row r="23">
          <cell r="H23">
            <v>0</v>
          </cell>
          <cell r="I23">
            <v>0</v>
          </cell>
          <cell r="K23">
            <v>0</v>
          </cell>
          <cell r="L23">
            <v>0</v>
          </cell>
          <cell r="M23">
            <v>0</v>
          </cell>
          <cell r="N23" t="e">
            <v>#DIV/0!</v>
          </cell>
          <cell r="O23">
            <v>0</v>
          </cell>
        </row>
        <row r="24">
          <cell r="I24">
            <v>0</v>
          </cell>
          <cell r="L24">
            <v>0</v>
          </cell>
          <cell r="M24">
            <v>0</v>
          </cell>
          <cell r="O24">
            <v>0</v>
          </cell>
        </row>
        <row r="25">
          <cell r="I25">
            <v>0</v>
          </cell>
          <cell r="L25">
            <v>0</v>
          </cell>
          <cell r="M25">
            <v>0</v>
          </cell>
          <cell r="O25">
            <v>0</v>
          </cell>
        </row>
        <row r="26">
          <cell r="I26">
            <v>0</v>
          </cell>
          <cell r="L26">
            <v>0</v>
          </cell>
          <cell r="M26">
            <v>0</v>
          </cell>
          <cell r="O26">
            <v>0</v>
          </cell>
        </row>
        <row r="27">
          <cell r="I27">
            <v>0</v>
          </cell>
          <cell r="L27">
            <v>0</v>
          </cell>
          <cell r="M27">
            <v>0</v>
          </cell>
          <cell r="O27">
            <v>0</v>
          </cell>
        </row>
        <row r="28">
          <cell r="I28">
            <v>0</v>
          </cell>
          <cell r="L28">
            <v>0</v>
          </cell>
          <cell r="M28">
            <v>0</v>
          </cell>
          <cell r="O28">
            <v>0</v>
          </cell>
        </row>
        <row r="29">
          <cell r="H29">
            <v>0</v>
          </cell>
          <cell r="I29">
            <v>0</v>
          </cell>
          <cell r="K29">
            <v>0</v>
          </cell>
          <cell r="L29">
            <v>0</v>
          </cell>
          <cell r="M29">
            <v>0</v>
          </cell>
          <cell r="N29" t="e">
            <v>#DIV/0!</v>
          </cell>
          <cell r="O29">
            <v>0</v>
          </cell>
        </row>
        <row r="30">
          <cell r="I30">
            <v>0</v>
          </cell>
          <cell r="L30">
            <v>0</v>
          </cell>
          <cell r="M30">
            <v>0</v>
          </cell>
          <cell r="O30">
            <v>0</v>
          </cell>
        </row>
        <row r="31">
          <cell r="I31">
            <v>0</v>
          </cell>
          <cell r="L31">
            <v>0</v>
          </cell>
          <cell r="M31">
            <v>0</v>
          </cell>
          <cell r="O31">
            <v>0</v>
          </cell>
        </row>
        <row r="32">
          <cell r="I32">
            <v>0</v>
          </cell>
          <cell r="L32">
            <v>0</v>
          </cell>
          <cell r="M32">
            <v>0</v>
          </cell>
          <cell r="O32">
            <v>0</v>
          </cell>
        </row>
        <row r="33">
          <cell r="I33">
            <v>0</v>
          </cell>
          <cell r="L33">
            <v>0</v>
          </cell>
          <cell r="M33">
            <v>0</v>
          </cell>
          <cell r="O33">
            <v>0</v>
          </cell>
        </row>
        <row r="34">
          <cell r="I34">
            <v>0</v>
          </cell>
          <cell r="L34">
            <v>0</v>
          </cell>
          <cell r="M34">
            <v>0</v>
          </cell>
          <cell r="O34">
            <v>0</v>
          </cell>
        </row>
        <row r="35">
          <cell r="H35">
            <v>0</v>
          </cell>
          <cell r="I35">
            <v>0</v>
          </cell>
          <cell r="K35">
            <v>0</v>
          </cell>
          <cell r="L35">
            <v>0</v>
          </cell>
          <cell r="M35">
            <v>0</v>
          </cell>
          <cell r="O35">
            <v>0</v>
          </cell>
        </row>
        <row r="36">
          <cell r="I36">
            <v>0</v>
          </cell>
          <cell r="L36">
            <v>0</v>
          </cell>
          <cell r="M36">
            <v>0</v>
          </cell>
          <cell r="O36">
            <v>0</v>
          </cell>
        </row>
        <row r="37">
          <cell r="I37">
            <v>0</v>
          </cell>
          <cell r="L37">
            <v>0</v>
          </cell>
          <cell r="M37">
            <v>0</v>
          </cell>
          <cell r="O37">
            <v>0</v>
          </cell>
        </row>
        <row r="38">
          <cell r="I38">
            <v>0</v>
          </cell>
          <cell r="L38">
            <v>0</v>
          </cell>
          <cell r="M38">
            <v>0</v>
          </cell>
          <cell r="O38">
            <v>0</v>
          </cell>
        </row>
        <row r="39">
          <cell r="I39">
            <v>0</v>
          </cell>
          <cell r="L39">
            <v>0</v>
          </cell>
          <cell r="M39">
            <v>0</v>
          </cell>
          <cell r="O39">
            <v>0</v>
          </cell>
        </row>
        <row r="40">
          <cell r="I40">
            <v>0</v>
          </cell>
          <cell r="L40">
            <v>0</v>
          </cell>
          <cell r="M40">
            <v>0</v>
          </cell>
          <cell r="O40">
            <v>0</v>
          </cell>
        </row>
        <row r="41">
          <cell r="H41">
            <v>0</v>
          </cell>
          <cell r="I41">
            <v>0</v>
          </cell>
          <cell r="K41">
            <v>0</v>
          </cell>
          <cell r="L41">
            <v>0</v>
          </cell>
          <cell r="M41">
            <v>0</v>
          </cell>
          <cell r="O41">
            <v>0</v>
          </cell>
        </row>
        <row r="42">
          <cell r="I42">
            <v>0</v>
          </cell>
          <cell r="L42">
            <v>0</v>
          </cell>
          <cell r="M42">
            <v>0</v>
          </cell>
          <cell r="O42">
            <v>0</v>
          </cell>
        </row>
        <row r="43">
          <cell r="I43">
            <v>0</v>
          </cell>
          <cell r="L43">
            <v>0</v>
          </cell>
          <cell r="M43">
            <v>0</v>
          </cell>
          <cell r="O43">
            <v>0</v>
          </cell>
        </row>
        <row r="44">
          <cell r="I44">
            <v>0</v>
          </cell>
          <cell r="L44">
            <v>0</v>
          </cell>
          <cell r="M44">
            <v>0</v>
          </cell>
          <cell r="O44">
            <v>0</v>
          </cell>
        </row>
        <row r="45">
          <cell r="I45">
            <v>0</v>
          </cell>
          <cell r="L45">
            <v>0</v>
          </cell>
          <cell r="M45">
            <v>0</v>
          </cell>
          <cell r="O45">
            <v>0</v>
          </cell>
        </row>
        <row r="46">
          <cell r="I46">
            <v>0</v>
          </cell>
          <cell r="L46">
            <v>0</v>
          </cell>
          <cell r="M46">
            <v>0</v>
          </cell>
          <cell r="O46">
            <v>0</v>
          </cell>
        </row>
        <row r="47">
          <cell r="F47" t="e">
            <v>#DIV/0!</v>
          </cell>
          <cell r="G47" t="e">
            <v>#DIV/0!</v>
          </cell>
          <cell r="H47">
            <v>0</v>
          </cell>
          <cell r="I47">
            <v>0</v>
          </cell>
          <cell r="K47">
            <v>0</v>
          </cell>
          <cell r="L47">
            <v>0</v>
          </cell>
          <cell r="M47">
            <v>0</v>
          </cell>
          <cell r="N47" t="e">
            <v>#DIV/0!</v>
          </cell>
          <cell r="O47">
            <v>0</v>
          </cell>
        </row>
        <row r="48">
          <cell r="F48" t="e">
            <v>#DIV/0!</v>
          </cell>
          <cell r="G48" t="e">
            <v>#DIV/0!</v>
          </cell>
          <cell r="H48">
            <v>0</v>
          </cell>
          <cell r="I48">
            <v>0</v>
          </cell>
          <cell r="K48">
            <v>0</v>
          </cell>
          <cell r="L48">
            <v>0</v>
          </cell>
          <cell r="M48">
            <v>0</v>
          </cell>
          <cell r="N48" t="e">
            <v>#DIV/0!</v>
          </cell>
          <cell r="O48">
            <v>0</v>
          </cell>
        </row>
        <row r="49">
          <cell r="H49">
            <v>0</v>
          </cell>
          <cell r="I49">
            <v>0</v>
          </cell>
          <cell r="K49">
            <v>0</v>
          </cell>
          <cell r="L49">
            <v>0</v>
          </cell>
          <cell r="M49">
            <v>0</v>
          </cell>
          <cell r="O49">
            <v>0</v>
          </cell>
        </row>
        <row r="50">
          <cell r="I50">
            <v>0</v>
          </cell>
          <cell r="L50">
            <v>0</v>
          </cell>
          <cell r="M50">
            <v>0</v>
          </cell>
          <cell r="O50">
            <v>0</v>
          </cell>
        </row>
        <row r="51">
          <cell r="I51">
            <v>0</v>
          </cell>
          <cell r="L51">
            <v>0</v>
          </cell>
          <cell r="M51">
            <v>0</v>
          </cell>
          <cell r="O51">
            <v>0</v>
          </cell>
        </row>
        <row r="52">
          <cell r="I52">
            <v>0</v>
          </cell>
          <cell r="L52">
            <v>0</v>
          </cell>
          <cell r="M52">
            <v>0</v>
          </cell>
          <cell r="O52">
            <v>0</v>
          </cell>
        </row>
        <row r="53">
          <cell r="I53">
            <v>0</v>
          </cell>
          <cell r="L53">
            <v>0</v>
          </cell>
          <cell r="M53">
            <v>0</v>
          </cell>
          <cell r="O53">
            <v>0</v>
          </cell>
        </row>
        <row r="54">
          <cell r="I54">
            <v>0</v>
          </cell>
          <cell r="L54">
            <v>0</v>
          </cell>
          <cell r="M54">
            <v>0</v>
          </cell>
          <cell r="O54">
            <v>0</v>
          </cell>
        </row>
        <row r="55">
          <cell r="H55">
            <v>0</v>
          </cell>
          <cell r="I55">
            <v>0</v>
          </cell>
          <cell r="K55">
            <v>0</v>
          </cell>
          <cell r="L55">
            <v>0</v>
          </cell>
          <cell r="M55">
            <v>0</v>
          </cell>
          <cell r="O55">
            <v>0</v>
          </cell>
        </row>
        <row r="56">
          <cell r="I56">
            <v>0</v>
          </cell>
          <cell r="L56">
            <v>0</v>
          </cell>
          <cell r="M56">
            <v>0</v>
          </cell>
          <cell r="O56">
            <v>0</v>
          </cell>
        </row>
        <row r="57">
          <cell r="I57">
            <v>0</v>
          </cell>
          <cell r="L57">
            <v>0</v>
          </cell>
          <cell r="M57">
            <v>0</v>
          </cell>
          <cell r="O57">
            <v>0</v>
          </cell>
        </row>
        <row r="58">
          <cell r="I58">
            <v>0</v>
          </cell>
          <cell r="L58">
            <v>0</v>
          </cell>
          <cell r="M58">
            <v>0</v>
          </cell>
          <cell r="O58">
            <v>0</v>
          </cell>
        </row>
        <row r="59">
          <cell r="I59">
            <v>0</v>
          </cell>
          <cell r="L59">
            <v>0</v>
          </cell>
          <cell r="M59">
            <v>0</v>
          </cell>
          <cell r="O59">
            <v>0</v>
          </cell>
        </row>
        <row r="60">
          <cell r="I60">
            <v>0</v>
          </cell>
          <cell r="L60">
            <v>0</v>
          </cell>
          <cell r="M60">
            <v>0</v>
          </cell>
          <cell r="O60">
            <v>0</v>
          </cell>
        </row>
        <row r="61">
          <cell r="H61">
            <v>0</v>
          </cell>
          <cell r="I61">
            <v>0</v>
          </cell>
          <cell r="K61">
            <v>0</v>
          </cell>
          <cell r="L61">
            <v>0</v>
          </cell>
          <cell r="M61">
            <v>0</v>
          </cell>
          <cell r="N61" t="e">
            <v>#DIV/0!</v>
          </cell>
          <cell r="O61">
            <v>0</v>
          </cell>
        </row>
        <row r="62">
          <cell r="I62">
            <v>0</v>
          </cell>
          <cell r="L62">
            <v>0</v>
          </cell>
          <cell r="M62">
            <v>0</v>
          </cell>
          <cell r="O62">
            <v>0</v>
          </cell>
        </row>
        <row r="63">
          <cell r="I63">
            <v>0</v>
          </cell>
          <cell r="L63">
            <v>0</v>
          </cell>
          <cell r="M63">
            <v>0</v>
          </cell>
          <cell r="O63">
            <v>0</v>
          </cell>
        </row>
        <row r="64">
          <cell r="I64">
            <v>0</v>
          </cell>
          <cell r="L64">
            <v>0</v>
          </cell>
          <cell r="M64">
            <v>0</v>
          </cell>
          <cell r="O64">
            <v>0</v>
          </cell>
        </row>
        <row r="65">
          <cell r="I65">
            <v>0</v>
          </cell>
          <cell r="L65">
            <v>0</v>
          </cell>
          <cell r="M65">
            <v>0</v>
          </cell>
          <cell r="O65">
            <v>0</v>
          </cell>
        </row>
        <row r="66">
          <cell r="I66">
            <v>0</v>
          </cell>
          <cell r="L66">
            <v>0</v>
          </cell>
          <cell r="M66">
            <v>0</v>
          </cell>
          <cell r="O66">
            <v>0</v>
          </cell>
        </row>
        <row r="67">
          <cell r="H67">
            <v>0</v>
          </cell>
          <cell r="I67">
            <v>0</v>
          </cell>
          <cell r="K67">
            <v>0</v>
          </cell>
          <cell r="L67">
            <v>0</v>
          </cell>
          <cell r="M67">
            <v>0</v>
          </cell>
          <cell r="N67" t="e">
            <v>#DIV/0!</v>
          </cell>
          <cell r="O67">
            <v>0</v>
          </cell>
        </row>
        <row r="68">
          <cell r="I68">
            <v>0</v>
          </cell>
          <cell r="L68">
            <v>0</v>
          </cell>
          <cell r="M68">
            <v>0</v>
          </cell>
          <cell r="O68">
            <v>0</v>
          </cell>
        </row>
        <row r="69">
          <cell r="I69">
            <v>0</v>
          </cell>
          <cell r="L69">
            <v>0</v>
          </cell>
          <cell r="M69">
            <v>0</v>
          </cell>
          <cell r="O69">
            <v>0</v>
          </cell>
        </row>
        <row r="70">
          <cell r="I70">
            <v>0</v>
          </cell>
          <cell r="L70">
            <v>0</v>
          </cell>
          <cell r="M70">
            <v>0</v>
          </cell>
          <cell r="O70">
            <v>0</v>
          </cell>
        </row>
        <row r="71">
          <cell r="I71">
            <v>0</v>
          </cell>
          <cell r="L71">
            <v>0</v>
          </cell>
          <cell r="M71">
            <v>0</v>
          </cell>
          <cell r="O71">
            <v>0</v>
          </cell>
        </row>
        <row r="72">
          <cell r="I72">
            <v>0</v>
          </cell>
          <cell r="L72">
            <v>0</v>
          </cell>
          <cell r="M72">
            <v>0</v>
          </cell>
          <cell r="O72">
            <v>0</v>
          </cell>
        </row>
        <row r="73">
          <cell r="H73">
            <v>0</v>
          </cell>
          <cell r="I73">
            <v>0</v>
          </cell>
          <cell r="K73">
            <v>0</v>
          </cell>
          <cell r="L73">
            <v>0</v>
          </cell>
          <cell r="M73">
            <v>0</v>
          </cell>
          <cell r="O73">
            <v>0</v>
          </cell>
        </row>
        <row r="74">
          <cell r="I74">
            <v>0</v>
          </cell>
          <cell r="L74">
            <v>0</v>
          </cell>
          <cell r="M74">
            <v>0</v>
          </cell>
          <cell r="O74">
            <v>0</v>
          </cell>
        </row>
        <row r="75">
          <cell r="I75">
            <v>0</v>
          </cell>
          <cell r="L75">
            <v>0</v>
          </cell>
          <cell r="M75">
            <v>0</v>
          </cell>
          <cell r="O75">
            <v>0</v>
          </cell>
        </row>
        <row r="76">
          <cell r="I76">
            <v>0</v>
          </cell>
          <cell r="L76">
            <v>0</v>
          </cell>
          <cell r="M76">
            <v>0</v>
          </cell>
          <cell r="O76">
            <v>0</v>
          </cell>
        </row>
        <row r="77">
          <cell r="I77">
            <v>0</v>
          </cell>
          <cell r="L77">
            <v>0</v>
          </cell>
          <cell r="M77">
            <v>0</v>
          </cell>
          <cell r="O77">
            <v>0</v>
          </cell>
        </row>
        <row r="78">
          <cell r="I78">
            <v>0</v>
          </cell>
          <cell r="L78">
            <v>0</v>
          </cell>
          <cell r="M78">
            <v>0</v>
          </cell>
          <cell r="O78">
            <v>0</v>
          </cell>
        </row>
        <row r="79">
          <cell r="H79">
            <v>0</v>
          </cell>
          <cell r="I79">
            <v>0</v>
          </cell>
          <cell r="K79">
            <v>0</v>
          </cell>
          <cell r="L79">
            <v>0</v>
          </cell>
          <cell r="M79">
            <v>0</v>
          </cell>
          <cell r="O79">
            <v>0</v>
          </cell>
        </row>
        <row r="80">
          <cell r="I80">
            <v>0</v>
          </cell>
          <cell r="L80">
            <v>0</v>
          </cell>
          <cell r="M80">
            <v>0</v>
          </cell>
          <cell r="O80">
            <v>0</v>
          </cell>
        </row>
        <row r="81">
          <cell r="I81">
            <v>0</v>
          </cell>
          <cell r="L81">
            <v>0</v>
          </cell>
          <cell r="M81">
            <v>0</v>
          </cell>
          <cell r="O81">
            <v>0</v>
          </cell>
        </row>
        <row r="82">
          <cell r="I82">
            <v>0</v>
          </cell>
          <cell r="L82">
            <v>0</v>
          </cell>
          <cell r="M82">
            <v>0</v>
          </cell>
          <cell r="O82">
            <v>0</v>
          </cell>
        </row>
        <row r="83">
          <cell r="I83">
            <v>0</v>
          </cell>
          <cell r="L83">
            <v>0</v>
          </cell>
          <cell r="M83">
            <v>0</v>
          </cell>
          <cell r="O83">
            <v>0</v>
          </cell>
        </row>
        <row r="84">
          <cell r="I84">
            <v>0</v>
          </cell>
          <cell r="L84">
            <v>0</v>
          </cell>
          <cell r="M84">
            <v>0</v>
          </cell>
          <cell r="O84">
            <v>0</v>
          </cell>
        </row>
        <row r="85">
          <cell r="H85">
            <v>0</v>
          </cell>
          <cell r="I85">
            <v>0</v>
          </cell>
          <cell r="K85">
            <v>0</v>
          </cell>
          <cell r="L85">
            <v>0</v>
          </cell>
          <cell r="M85">
            <v>0</v>
          </cell>
          <cell r="O85">
            <v>0</v>
          </cell>
        </row>
        <row r="86">
          <cell r="F86" t="e">
            <v>#DIV/0!</v>
          </cell>
          <cell r="G86" t="e">
            <v>#DIV/0!</v>
          </cell>
        </row>
        <row r="87">
          <cell r="F87" t="e">
            <v>#DIV/0!</v>
          </cell>
          <cell r="G87" t="e">
            <v>#DIV/0!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  <cell r="M87">
            <v>0</v>
          </cell>
          <cell r="N87" t="e">
            <v>#DIV/0!</v>
          </cell>
          <cell r="O87">
            <v>0</v>
          </cell>
        </row>
        <row r="88">
          <cell r="F88" t="e">
            <v>#DIV/0!</v>
          </cell>
          <cell r="G88" t="e">
            <v>#DIV/0!</v>
          </cell>
          <cell r="H88">
            <v>0</v>
          </cell>
          <cell r="I88">
            <v>0</v>
          </cell>
          <cell r="K88">
            <v>0</v>
          </cell>
          <cell r="L88">
            <v>0</v>
          </cell>
          <cell r="M88">
            <v>0</v>
          </cell>
          <cell r="N88" t="e">
            <v>#DIV/0!</v>
          </cell>
          <cell r="O88">
            <v>0</v>
          </cell>
        </row>
        <row r="89">
          <cell r="H89">
            <v>0</v>
          </cell>
          <cell r="I89">
            <v>0</v>
          </cell>
          <cell r="K89">
            <v>0</v>
          </cell>
          <cell r="L89">
            <v>0</v>
          </cell>
          <cell r="M89">
            <v>0</v>
          </cell>
          <cell r="O89">
            <v>0</v>
          </cell>
        </row>
        <row r="90">
          <cell r="I90">
            <v>0</v>
          </cell>
          <cell r="L90">
            <v>0</v>
          </cell>
          <cell r="M90">
            <v>0</v>
          </cell>
          <cell r="O90">
            <v>0</v>
          </cell>
        </row>
        <row r="91">
          <cell r="I91">
            <v>0</v>
          </cell>
          <cell r="L91">
            <v>0</v>
          </cell>
          <cell r="M91">
            <v>0</v>
          </cell>
          <cell r="O91">
            <v>0</v>
          </cell>
        </row>
        <row r="92">
          <cell r="I92">
            <v>0</v>
          </cell>
          <cell r="L92">
            <v>0</v>
          </cell>
          <cell r="M92">
            <v>0</v>
          </cell>
          <cell r="O92">
            <v>0</v>
          </cell>
        </row>
        <row r="93">
          <cell r="I93">
            <v>0</v>
          </cell>
          <cell r="L93">
            <v>0</v>
          </cell>
          <cell r="M93">
            <v>0</v>
          </cell>
          <cell r="O93">
            <v>0</v>
          </cell>
        </row>
        <row r="94">
          <cell r="I94">
            <v>0</v>
          </cell>
          <cell r="L94">
            <v>0</v>
          </cell>
          <cell r="M94">
            <v>0</v>
          </cell>
          <cell r="O94">
            <v>0</v>
          </cell>
        </row>
        <row r="95">
          <cell r="H95">
            <v>0</v>
          </cell>
          <cell r="I95">
            <v>0</v>
          </cell>
          <cell r="K95">
            <v>0</v>
          </cell>
          <cell r="L95">
            <v>0</v>
          </cell>
          <cell r="M95">
            <v>0</v>
          </cell>
          <cell r="O95">
            <v>0</v>
          </cell>
        </row>
        <row r="96">
          <cell r="I96">
            <v>0</v>
          </cell>
          <cell r="L96">
            <v>0</v>
          </cell>
          <cell r="M96">
            <v>0</v>
          </cell>
          <cell r="O96">
            <v>0</v>
          </cell>
        </row>
        <row r="97">
          <cell r="I97">
            <v>0</v>
          </cell>
          <cell r="L97">
            <v>0</v>
          </cell>
          <cell r="M97">
            <v>0</v>
          </cell>
          <cell r="O97">
            <v>0</v>
          </cell>
        </row>
        <row r="98">
          <cell r="I98">
            <v>0</v>
          </cell>
          <cell r="L98">
            <v>0</v>
          </cell>
          <cell r="M98">
            <v>0</v>
          </cell>
          <cell r="O98">
            <v>0</v>
          </cell>
        </row>
        <row r="99">
          <cell r="I99">
            <v>0</v>
          </cell>
          <cell r="L99">
            <v>0</v>
          </cell>
          <cell r="M99">
            <v>0</v>
          </cell>
          <cell r="O99">
            <v>0</v>
          </cell>
        </row>
        <row r="100">
          <cell r="I100">
            <v>0</v>
          </cell>
          <cell r="L100">
            <v>0</v>
          </cell>
          <cell r="M100">
            <v>0</v>
          </cell>
          <cell r="O100">
            <v>0</v>
          </cell>
        </row>
        <row r="101">
          <cell r="H101">
            <v>0</v>
          </cell>
          <cell r="I101">
            <v>0</v>
          </cell>
          <cell r="K101">
            <v>0</v>
          </cell>
          <cell r="L101">
            <v>0</v>
          </cell>
          <cell r="M101">
            <v>0</v>
          </cell>
          <cell r="N101" t="e">
            <v>#DIV/0!</v>
          </cell>
          <cell r="O101">
            <v>0</v>
          </cell>
        </row>
        <row r="102">
          <cell r="I102">
            <v>0</v>
          </cell>
          <cell r="L102">
            <v>0</v>
          </cell>
          <cell r="M102">
            <v>0</v>
          </cell>
          <cell r="O102">
            <v>0</v>
          </cell>
        </row>
        <row r="103">
          <cell r="I103">
            <v>0</v>
          </cell>
          <cell r="L103">
            <v>0</v>
          </cell>
          <cell r="M103">
            <v>0</v>
          </cell>
          <cell r="O103">
            <v>0</v>
          </cell>
        </row>
        <row r="104">
          <cell r="I104">
            <v>0</v>
          </cell>
          <cell r="L104">
            <v>0</v>
          </cell>
          <cell r="M104">
            <v>0</v>
          </cell>
          <cell r="O104">
            <v>0</v>
          </cell>
        </row>
        <row r="105">
          <cell r="I105">
            <v>0</v>
          </cell>
          <cell r="L105">
            <v>0</v>
          </cell>
          <cell r="M105">
            <v>0</v>
          </cell>
          <cell r="O105">
            <v>0</v>
          </cell>
        </row>
        <row r="106">
          <cell r="I106">
            <v>0</v>
          </cell>
          <cell r="L106">
            <v>0</v>
          </cell>
          <cell r="M106">
            <v>0</v>
          </cell>
          <cell r="O106">
            <v>0</v>
          </cell>
        </row>
        <row r="107"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M107">
            <v>0</v>
          </cell>
          <cell r="N107" t="e">
            <v>#DIV/0!</v>
          </cell>
          <cell r="O107">
            <v>0</v>
          </cell>
        </row>
        <row r="108">
          <cell r="I108">
            <v>0</v>
          </cell>
          <cell r="L108">
            <v>0</v>
          </cell>
          <cell r="M108">
            <v>0</v>
          </cell>
          <cell r="O108">
            <v>0</v>
          </cell>
        </row>
        <row r="109">
          <cell r="I109">
            <v>0</v>
          </cell>
          <cell r="L109">
            <v>0</v>
          </cell>
          <cell r="M109">
            <v>0</v>
          </cell>
          <cell r="O109">
            <v>0</v>
          </cell>
        </row>
        <row r="110">
          <cell r="I110">
            <v>0</v>
          </cell>
          <cell r="L110">
            <v>0</v>
          </cell>
          <cell r="M110">
            <v>0</v>
          </cell>
          <cell r="O110">
            <v>0</v>
          </cell>
        </row>
        <row r="111">
          <cell r="I111">
            <v>0</v>
          </cell>
          <cell r="L111">
            <v>0</v>
          </cell>
          <cell r="M111">
            <v>0</v>
          </cell>
          <cell r="O111">
            <v>0</v>
          </cell>
        </row>
        <row r="112">
          <cell r="I112">
            <v>0</v>
          </cell>
          <cell r="L112">
            <v>0</v>
          </cell>
          <cell r="M112">
            <v>0</v>
          </cell>
          <cell r="O112">
            <v>0</v>
          </cell>
        </row>
        <row r="113">
          <cell r="H113">
            <v>0</v>
          </cell>
          <cell r="I113">
            <v>0</v>
          </cell>
          <cell r="K113">
            <v>0</v>
          </cell>
          <cell r="L113">
            <v>0</v>
          </cell>
          <cell r="M113">
            <v>0</v>
          </cell>
          <cell r="O113">
            <v>0</v>
          </cell>
        </row>
        <row r="114">
          <cell r="I114">
            <v>0</v>
          </cell>
          <cell r="L114">
            <v>0</v>
          </cell>
          <cell r="M114">
            <v>0</v>
          </cell>
          <cell r="O114">
            <v>0</v>
          </cell>
        </row>
        <row r="115">
          <cell r="I115">
            <v>0</v>
          </cell>
          <cell r="L115">
            <v>0</v>
          </cell>
          <cell r="M115">
            <v>0</v>
          </cell>
          <cell r="O115">
            <v>0</v>
          </cell>
        </row>
        <row r="116">
          <cell r="I116">
            <v>0</v>
          </cell>
          <cell r="L116">
            <v>0</v>
          </cell>
          <cell r="M116">
            <v>0</v>
          </cell>
          <cell r="O116">
            <v>0</v>
          </cell>
        </row>
        <row r="117">
          <cell r="I117">
            <v>0</v>
          </cell>
          <cell r="L117">
            <v>0</v>
          </cell>
          <cell r="M117">
            <v>0</v>
          </cell>
          <cell r="O117">
            <v>0</v>
          </cell>
        </row>
        <row r="118">
          <cell r="I118">
            <v>0</v>
          </cell>
          <cell r="L118">
            <v>0</v>
          </cell>
          <cell r="M118">
            <v>0</v>
          </cell>
          <cell r="O118">
            <v>0</v>
          </cell>
        </row>
        <row r="119">
          <cell r="H119">
            <v>0</v>
          </cell>
          <cell r="I119">
            <v>0</v>
          </cell>
          <cell r="K119">
            <v>0</v>
          </cell>
          <cell r="L119">
            <v>0</v>
          </cell>
          <cell r="M119">
            <v>0</v>
          </cell>
          <cell r="O119">
            <v>0</v>
          </cell>
        </row>
        <row r="120">
          <cell r="L120">
            <v>0</v>
          </cell>
          <cell r="M120">
            <v>0</v>
          </cell>
          <cell r="O120">
            <v>0</v>
          </cell>
        </row>
        <row r="121">
          <cell r="I121">
            <v>0</v>
          </cell>
          <cell r="L121">
            <v>0</v>
          </cell>
          <cell r="M121">
            <v>0</v>
          </cell>
          <cell r="O121">
            <v>0</v>
          </cell>
        </row>
        <row r="122">
          <cell r="I122">
            <v>0</v>
          </cell>
          <cell r="L122">
            <v>0</v>
          </cell>
          <cell r="M122">
            <v>0</v>
          </cell>
          <cell r="O122">
            <v>0</v>
          </cell>
        </row>
        <row r="123">
          <cell r="I123">
            <v>0</v>
          </cell>
          <cell r="L123">
            <v>0</v>
          </cell>
          <cell r="M123">
            <v>0</v>
          </cell>
          <cell r="O123">
            <v>0</v>
          </cell>
        </row>
        <row r="124">
          <cell r="I124">
            <v>0</v>
          </cell>
          <cell r="L124">
            <v>0</v>
          </cell>
          <cell r="M124">
            <v>0</v>
          </cell>
          <cell r="O124">
            <v>0</v>
          </cell>
        </row>
        <row r="125">
          <cell r="F125" t="e">
            <v>#DIV/0!</v>
          </cell>
          <cell r="G125" t="e">
            <v>#DIV/0!</v>
          </cell>
          <cell r="H125">
            <v>0</v>
          </cell>
          <cell r="I125">
            <v>0</v>
          </cell>
          <cell r="K125">
            <v>0</v>
          </cell>
          <cell r="L125">
            <v>0</v>
          </cell>
          <cell r="M125">
            <v>0</v>
          </cell>
          <cell r="N125" t="e">
            <v>#DIV/0!</v>
          </cell>
          <cell r="O125">
            <v>0</v>
          </cell>
        </row>
        <row r="126">
          <cell r="F126" t="e">
            <v>#DIV/0!</v>
          </cell>
          <cell r="G126" t="e">
            <v>#DIV/0!</v>
          </cell>
          <cell r="H126">
            <v>0</v>
          </cell>
          <cell r="I126">
            <v>0</v>
          </cell>
          <cell r="K126">
            <v>0</v>
          </cell>
          <cell r="L126">
            <v>0</v>
          </cell>
          <cell r="M126">
            <v>0</v>
          </cell>
          <cell r="N126" t="e">
            <v>#DIV/0!</v>
          </cell>
          <cell r="O126">
            <v>0</v>
          </cell>
        </row>
        <row r="127"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M127">
            <v>0</v>
          </cell>
          <cell r="O127">
            <v>0</v>
          </cell>
        </row>
        <row r="128">
          <cell r="I128">
            <v>0</v>
          </cell>
          <cell r="L128">
            <v>0</v>
          </cell>
          <cell r="M128">
            <v>0</v>
          </cell>
          <cell r="O128">
            <v>0</v>
          </cell>
        </row>
        <row r="129">
          <cell r="I129">
            <v>0</v>
          </cell>
          <cell r="L129">
            <v>0</v>
          </cell>
          <cell r="M129">
            <v>0</v>
          </cell>
          <cell r="O129">
            <v>0</v>
          </cell>
        </row>
        <row r="130">
          <cell r="I130">
            <v>0</v>
          </cell>
          <cell r="L130">
            <v>0</v>
          </cell>
          <cell r="M130">
            <v>0</v>
          </cell>
          <cell r="O130">
            <v>0</v>
          </cell>
        </row>
        <row r="131">
          <cell r="I131">
            <v>0</v>
          </cell>
          <cell r="L131">
            <v>0</v>
          </cell>
          <cell r="M131">
            <v>0</v>
          </cell>
          <cell r="O131">
            <v>0</v>
          </cell>
        </row>
        <row r="132">
          <cell r="I132">
            <v>0</v>
          </cell>
          <cell r="L132">
            <v>0</v>
          </cell>
          <cell r="M132">
            <v>0</v>
          </cell>
          <cell r="O132">
            <v>0</v>
          </cell>
        </row>
        <row r="133">
          <cell r="H133">
            <v>0</v>
          </cell>
          <cell r="I133">
            <v>0</v>
          </cell>
          <cell r="K133">
            <v>0</v>
          </cell>
          <cell r="L133">
            <v>0</v>
          </cell>
          <cell r="M133">
            <v>0</v>
          </cell>
          <cell r="O133">
            <v>0</v>
          </cell>
        </row>
        <row r="134">
          <cell r="I134">
            <v>0</v>
          </cell>
          <cell r="L134">
            <v>0</v>
          </cell>
          <cell r="M134">
            <v>0</v>
          </cell>
          <cell r="O134">
            <v>0</v>
          </cell>
        </row>
        <row r="135">
          <cell r="I135">
            <v>0</v>
          </cell>
          <cell r="L135">
            <v>0</v>
          </cell>
          <cell r="M135">
            <v>0</v>
          </cell>
          <cell r="O135">
            <v>0</v>
          </cell>
        </row>
        <row r="136">
          <cell r="I136">
            <v>0</v>
          </cell>
          <cell r="L136">
            <v>0</v>
          </cell>
          <cell r="M136">
            <v>0</v>
          </cell>
          <cell r="O136">
            <v>0</v>
          </cell>
        </row>
        <row r="137">
          <cell r="I137">
            <v>0</v>
          </cell>
          <cell r="L137">
            <v>0</v>
          </cell>
          <cell r="M137">
            <v>0</v>
          </cell>
          <cell r="O137">
            <v>0</v>
          </cell>
        </row>
        <row r="138">
          <cell r="I138">
            <v>0</v>
          </cell>
          <cell r="L138">
            <v>0</v>
          </cell>
          <cell r="M138">
            <v>0</v>
          </cell>
          <cell r="O138">
            <v>0</v>
          </cell>
        </row>
        <row r="139">
          <cell r="H139">
            <v>0</v>
          </cell>
          <cell r="I139">
            <v>0</v>
          </cell>
          <cell r="K139">
            <v>0</v>
          </cell>
          <cell r="L139">
            <v>0</v>
          </cell>
          <cell r="M139">
            <v>0</v>
          </cell>
          <cell r="N139" t="e">
            <v>#DIV/0!</v>
          </cell>
          <cell r="O139">
            <v>0</v>
          </cell>
        </row>
        <row r="140">
          <cell r="I140">
            <v>0</v>
          </cell>
          <cell r="L140">
            <v>0</v>
          </cell>
          <cell r="M140">
            <v>0</v>
          </cell>
          <cell r="O140">
            <v>0</v>
          </cell>
        </row>
        <row r="141">
          <cell r="I141">
            <v>0</v>
          </cell>
          <cell r="L141">
            <v>0</v>
          </cell>
          <cell r="M141">
            <v>0</v>
          </cell>
          <cell r="O141">
            <v>0</v>
          </cell>
        </row>
        <row r="142">
          <cell r="I142">
            <v>0</v>
          </cell>
          <cell r="L142">
            <v>0</v>
          </cell>
          <cell r="M142">
            <v>0</v>
          </cell>
          <cell r="O142">
            <v>0</v>
          </cell>
        </row>
        <row r="143">
          <cell r="I143">
            <v>0</v>
          </cell>
          <cell r="L143">
            <v>0</v>
          </cell>
          <cell r="M143">
            <v>0</v>
          </cell>
          <cell r="O143">
            <v>0</v>
          </cell>
        </row>
        <row r="144">
          <cell r="I144">
            <v>0</v>
          </cell>
          <cell r="L144">
            <v>0</v>
          </cell>
          <cell r="M144">
            <v>0</v>
          </cell>
          <cell r="O144">
            <v>0</v>
          </cell>
        </row>
        <row r="145">
          <cell r="H145">
            <v>0</v>
          </cell>
          <cell r="I145">
            <v>0</v>
          </cell>
          <cell r="K145">
            <v>0</v>
          </cell>
          <cell r="L145">
            <v>0</v>
          </cell>
          <cell r="M145">
            <v>0</v>
          </cell>
          <cell r="N145" t="e">
            <v>#DIV/0!</v>
          </cell>
          <cell r="O145">
            <v>0</v>
          </cell>
        </row>
        <row r="146">
          <cell r="I146">
            <v>0</v>
          </cell>
          <cell r="L146">
            <v>0</v>
          </cell>
          <cell r="M146">
            <v>0</v>
          </cell>
          <cell r="O146">
            <v>0</v>
          </cell>
        </row>
        <row r="147">
          <cell r="I147">
            <v>0</v>
          </cell>
          <cell r="L147">
            <v>0</v>
          </cell>
          <cell r="M147">
            <v>0</v>
          </cell>
          <cell r="O147">
            <v>0</v>
          </cell>
        </row>
        <row r="148">
          <cell r="I148">
            <v>0</v>
          </cell>
          <cell r="L148">
            <v>0</v>
          </cell>
          <cell r="M148">
            <v>0</v>
          </cell>
          <cell r="O148">
            <v>0</v>
          </cell>
        </row>
        <row r="149">
          <cell r="I149">
            <v>0</v>
          </cell>
          <cell r="L149">
            <v>0</v>
          </cell>
          <cell r="M149">
            <v>0</v>
          </cell>
          <cell r="O149">
            <v>0</v>
          </cell>
        </row>
        <row r="150">
          <cell r="I150">
            <v>0</v>
          </cell>
          <cell r="L150">
            <v>0</v>
          </cell>
          <cell r="M150">
            <v>0</v>
          </cell>
          <cell r="O150">
            <v>0</v>
          </cell>
        </row>
        <row r="151">
          <cell r="H151">
            <v>0</v>
          </cell>
          <cell r="I151">
            <v>0</v>
          </cell>
          <cell r="K151">
            <v>0</v>
          </cell>
          <cell r="L151">
            <v>0</v>
          </cell>
          <cell r="M151">
            <v>0</v>
          </cell>
          <cell r="O151">
            <v>0</v>
          </cell>
        </row>
        <row r="152">
          <cell r="I152">
            <v>0</v>
          </cell>
          <cell r="L152">
            <v>0</v>
          </cell>
          <cell r="M152">
            <v>0</v>
          </cell>
          <cell r="O152">
            <v>0</v>
          </cell>
        </row>
        <row r="153">
          <cell r="I153">
            <v>0</v>
          </cell>
          <cell r="L153">
            <v>0</v>
          </cell>
          <cell r="M153">
            <v>0</v>
          </cell>
          <cell r="O153">
            <v>0</v>
          </cell>
        </row>
        <row r="154">
          <cell r="I154">
            <v>0</v>
          </cell>
          <cell r="L154">
            <v>0</v>
          </cell>
          <cell r="M154">
            <v>0</v>
          </cell>
          <cell r="O154">
            <v>0</v>
          </cell>
        </row>
        <row r="155">
          <cell r="I155">
            <v>0</v>
          </cell>
          <cell r="L155">
            <v>0</v>
          </cell>
          <cell r="M155">
            <v>0</v>
          </cell>
          <cell r="O155">
            <v>0</v>
          </cell>
        </row>
        <row r="156">
          <cell r="I156">
            <v>0</v>
          </cell>
          <cell r="L156">
            <v>0</v>
          </cell>
          <cell r="M156">
            <v>0</v>
          </cell>
          <cell r="O156">
            <v>0</v>
          </cell>
        </row>
        <row r="157">
          <cell r="H157">
            <v>0</v>
          </cell>
          <cell r="I157">
            <v>0</v>
          </cell>
          <cell r="K157">
            <v>0</v>
          </cell>
          <cell r="L157">
            <v>0</v>
          </cell>
          <cell r="M157">
            <v>0</v>
          </cell>
          <cell r="O157">
            <v>0</v>
          </cell>
        </row>
        <row r="158">
          <cell r="I158">
            <v>0</v>
          </cell>
          <cell r="L158">
            <v>0</v>
          </cell>
          <cell r="M158">
            <v>0</v>
          </cell>
          <cell r="O158">
            <v>0</v>
          </cell>
        </row>
        <row r="159">
          <cell r="I159">
            <v>0</v>
          </cell>
          <cell r="L159">
            <v>0</v>
          </cell>
          <cell r="M159">
            <v>0</v>
          </cell>
          <cell r="O159">
            <v>0</v>
          </cell>
        </row>
        <row r="160">
          <cell r="I160">
            <v>0</v>
          </cell>
          <cell r="L160">
            <v>0</v>
          </cell>
          <cell r="M160">
            <v>0</v>
          </cell>
          <cell r="O160">
            <v>0</v>
          </cell>
        </row>
        <row r="161">
          <cell r="I161">
            <v>0</v>
          </cell>
          <cell r="L161">
            <v>0</v>
          </cell>
          <cell r="M161">
            <v>0</v>
          </cell>
          <cell r="O161">
            <v>0</v>
          </cell>
        </row>
        <row r="162">
          <cell r="I162">
            <v>0</v>
          </cell>
          <cell r="L162">
            <v>0</v>
          </cell>
          <cell r="M162">
            <v>0</v>
          </cell>
          <cell r="O162">
            <v>0</v>
          </cell>
        </row>
        <row r="163">
          <cell r="H163">
            <v>0</v>
          </cell>
          <cell r="I163">
            <v>0</v>
          </cell>
          <cell r="K163">
            <v>0</v>
          </cell>
          <cell r="L163">
            <v>0</v>
          </cell>
          <cell r="M163">
            <v>0</v>
          </cell>
          <cell r="O163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Форма 20 (1)"/>
      <sheetName val="Форма 20 (2)"/>
      <sheetName val="Форма 20 (3)"/>
      <sheetName val="Форма 20 (4)"/>
      <sheetName val="Форма 20 (5)"/>
      <sheetName val="FES"/>
      <sheetName val="Control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Список дефектов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1.3 Расчет НВВ по RAB (2022)"/>
      <sheetName val="1.7 Баланс ээ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>
        <row r="2">
          <cell r="A2">
            <v>0</v>
          </cell>
        </row>
      </sheetData>
      <sheetData sheetId="264">
        <row r="2">
          <cell r="A2">
            <v>0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>
        <row r="2">
          <cell r="A2">
            <v>0</v>
          </cell>
        </row>
      </sheetData>
      <sheetData sheetId="331">
        <row r="2">
          <cell r="A2">
            <v>0</v>
          </cell>
        </row>
      </sheetData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>
        <row r="2">
          <cell r="A2">
            <v>0</v>
          </cell>
        </row>
      </sheetData>
      <sheetData sheetId="339">
        <row r="2">
          <cell r="A2">
            <v>0</v>
          </cell>
        </row>
      </sheetData>
      <sheetData sheetId="340">
        <row r="2">
          <cell r="A2">
            <v>0</v>
          </cell>
        </row>
      </sheetData>
      <sheetData sheetId="341">
        <row r="2">
          <cell r="A2">
            <v>0</v>
          </cell>
        </row>
      </sheetData>
      <sheetData sheetId="342">
        <row r="2">
          <cell r="A2">
            <v>0</v>
          </cell>
        </row>
      </sheetData>
      <sheetData sheetId="343">
        <row r="2">
          <cell r="A2">
            <v>0</v>
          </cell>
        </row>
      </sheetData>
      <sheetData sheetId="344">
        <row r="2">
          <cell r="A2">
            <v>0</v>
          </cell>
        </row>
      </sheetData>
      <sheetData sheetId="345">
        <row r="2">
          <cell r="A2">
            <v>0</v>
          </cell>
        </row>
      </sheetData>
      <sheetData sheetId="346">
        <row r="2">
          <cell r="A2">
            <v>0</v>
          </cell>
        </row>
      </sheetData>
      <sheetData sheetId="347">
        <row r="2">
          <cell r="A2">
            <v>0</v>
          </cell>
        </row>
      </sheetData>
      <sheetData sheetId="348">
        <row r="2">
          <cell r="A2">
            <v>0</v>
          </cell>
        </row>
      </sheetData>
      <sheetData sheetId="349">
        <row r="2">
          <cell r="A2">
            <v>0</v>
          </cell>
        </row>
      </sheetData>
      <sheetData sheetId="350">
        <row r="2">
          <cell r="A2">
            <v>0</v>
          </cell>
        </row>
      </sheetData>
      <sheetData sheetId="351">
        <row r="2">
          <cell r="A2">
            <v>0</v>
          </cell>
        </row>
      </sheetData>
      <sheetData sheetId="352">
        <row r="2">
          <cell r="A2">
            <v>0</v>
          </cell>
        </row>
      </sheetData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8">
          <cell r="D8">
            <v>15739</v>
          </cell>
        </row>
      </sheetData>
      <sheetData sheetId="505">
        <row r="8">
          <cell r="D8">
            <v>15739</v>
          </cell>
        </row>
      </sheetData>
      <sheetData sheetId="506">
        <row r="8">
          <cell r="D8">
            <v>15739</v>
          </cell>
        </row>
      </sheetData>
      <sheetData sheetId="507">
        <row r="8">
          <cell r="D8">
            <v>15739</v>
          </cell>
        </row>
      </sheetData>
      <sheetData sheetId="508">
        <row r="8">
          <cell r="D8">
            <v>15739</v>
          </cell>
        </row>
      </sheetData>
      <sheetData sheetId="509">
        <row r="8">
          <cell r="D8">
            <v>15739</v>
          </cell>
        </row>
      </sheetData>
      <sheetData sheetId="510">
        <row r="8">
          <cell r="D8">
            <v>15739</v>
          </cell>
        </row>
      </sheetData>
      <sheetData sheetId="511">
        <row r="8">
          <cell r="D8">
            <v>15739</v>
          </cell>
        </row>
      </sheetData>
      <sheetData sheetId="512">
        <row r="8">
          <cell r="D8">
            <v>15739</v>
          </cell>
        </row>
      </sheetData>
      <sheetData sheetId="513">
        <row r="8">
          <cell r="D8">
            <v>15739</v>
          </cell>
        </row>
      </sheetData>
      <sheetData sheetId="514">
        <row r="8">
          <cell r="D8">
            <v>15739</v>
          </cell>
        </row>
      </sheetData>
      <sheetData sheetId="515">
        <row r="8">
          <cell r="D8">
            <v>15739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>
            <v>0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 t="str">
            <v>ТЭС-1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>
        <row r="2">
          <cell r="A2">
            <v>0</v>
          </cell>
        </row>
      </sheetData>
      <sheetData sheetId="608">
        <row r="2">
          <cell r="A2">
            <v>0</v>
          </cell>
        </row>
      </sheetData>
      <sheetData sheetId="609">
        <row r="2">
          <cell r="A2">
            <v>0</v>
          </cell>
        </row>
      </sheetData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Нива"/>
      <sheetName val="Темижбек"/>
      <sheetName val="Мелиоратор"/>
      <sheetName val="Подлесная"/>
      <sheetName val="Смета на п.ст. Нива"/>
    </sheetNames>
    <sheetDataSet>
      <sheetData sheetId="0" refreshError="1"/>
      <sheetData sheetId="1" refreshError="1">
        <row r="101">
          <cell r="I101">
            <v>4242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Лист1"/>
      <sheetName val="TEHSHEET"/>
      <sheetName val="17_1"/>
      <sheetName val="Main"/>
      <sheetName val="share price 2002"/>
    </sheetNames>
    <sheetDataSet>
      <sheetData sheetId="0"/>
      <sheetData sheetId="1"/>
      <sheetData sheetId="2" refreshError="1">
        <row r="13">
          <cell r="E13" t="str">
            <v>Ставропольский край</v>
          </cell>
        </row>
        <row r="21">
          <cell r="D21" t="str">
            <v>МУП "Горэлектросеть" г. Ставрополь</v>
          </cell>
          <cell r="I21">
            <v>2633005874</v>
          </cell>
        </row>
        <row r="27">
          <cell r="F27" t="str">
            <v>Предложение организации</v>
          </cell>
        </row>
      </sheetData>
      <sheetData sheetId="3"/>
      <sheetData sheetId="4"/>
      <sheetData sheetId="5" refreshError="1">
        <row r="17">
          <cell r="I17">
            <v>469.84445770120851</v>
          </cell>
          <cell r="N17">
            <v>516.92380467986629</v>
          </cell>
          <cell r="S17">
            <v>537.0990038570327</v>
          </cell>
          <cell r="X17">
            <v>536.54096811519685</v>
          </cell>
          <cell r="AC17">
            <v>434.53</v>
          </cell>
        </row>
        <row r="19">
          <cell r="Z19">
            <v>35.96</v>
          </cell>
          <cell r="AB19">
            <v>966.54</v>
          </cell>
        </row>
        <row r="20">
          <cell r="F20">
            <v>32.333868927680797</v>
          </cell>
          <cell r="H20">
            <v>869.07613107231919</v>
          </cell>
          <cell r="K20">
            <v>33.96397787531172</v>
          </cell>
          <cell r="M20">
            <v>912.89052212468835</v>
          </cell>
          <cell r="R20">
            <v>952.02266222443893</v>
          </cell>
          <cell r="U20">
            <v>35.673815792518702</v>
          </cell>
          <cell r="W20">
            <v>958.84788420748134</v>
          </cell>
        </row>
        <row r="23">
          <cell r="I23">
            <v>1.17</v>
          </cell>
          <cell r="N23">
            <v>1.3432999999999999</v>
          </cell>
          <cell r="S23">
            <v>1.17</v>
          </cell>
          <cell r="X23">
            <v>1.171</v>
          </cell>
          <cell r="AC23">
            <v>1.33</v>
          </cell>
        </row>
        <row r="25">
          <cell r="F25">
            <v>32.377000000000002</v>
          </cell>
          <cell r="H25">
            <v>370.17500000000001</v>
          </cell>
          <cell r="I25">
            <v>427.255</v>
          </cell>
          <cell r="K25">
            <v>33.922699999999999</v>
          </cell>
          <cell r="M25">
            <v>344.02740000000006</v>
          </cell>
          <cell r="N25">
            <v>441.37350000000004</v>
          </cell>
          <cell r="R25">
            <v>374.3</v>
          </cell>
          <cell r="S25">
            <v>477.93600000000004</v>
          </cell>
          <cell r="U25">
            <v>35.636399999999995</v>
          </cell>
          <cell r="W25">
            <v>374.64159999999993</v>
          </cell>
          <cell r="X25">
            <v>467.27100000000007</v>
          </cell>
          <cell r="Z25">
            <v>35.96</v>
          </cell>
          <cell r="AB25">
            <v>483.98</v>
          </cell>
          <cell r="AC25">
            <v>364.54</v>
          </cell>
        </row>
      </sheetData>
      <sheetData sheetId="6" refreshError="1">
        <row r="17">
          <cell r="I17">
            <v>80.323653935612967</v>
          </cell>
          <cell r="N17">
            <v>64.144877084103342</v>
          </cell>
          <cell r="S17">
            <v>86.392115509858144</v>
          </cell>
          <cell r="X17">
            <v>66.487928993761386</v>
          </cell>
          <cell r="AC17">
            <v>67.329423226021603</v>
          </cell>
        </row>
        <row r="19">
          <cell r="Z19">
            <v>5.5750000000000002</v>
          </cell>
          <cell r="AB19">
            <v>149.815</v>
          </cell>
        </row>
        <row r="20">
          <cell r="F20">
            <v>7.67</v>
          </cell>
          <cell r="H20">
            <v>140</v>
          </cell>
          <cell r="K20">
            <v>5.2</v>
          </cell>
          <cell r="M20">
            <v>142</v>
          </cell>
          <cell r="R20">
            <v>156.80000000000001</v>
          </cell>
          <cell r="U20">
            <v>5.5192500000000004</v>
          </cell>
          <cell r="W20">
            <v>148.1</v>
          </cell>
        </row>
        <row r="21">
          <cell r="H21">
            <v>4.4676887713281834</v>
          </cell>
          <cell r="I21">
            <v>6.3836539356129656</v>
          </cell>
          <cell r="K21">
            <v>0</v>
          </cell>
          <cell r="L21">
            <v>0</v>
          </cell>
          <cell r="M21">
            <v>8.0418397883907318</v>
          </cell>
          <cell r="N21">
            <v>11.490577084103339</v>
          </cell>
          <cell r="R21">
            <v>6.2547642798594563</v>
          </cell>
          <cell r="S21">
            <v>8.9371155098581507</v>
          </cell>
          <cell r="U21">
            <v>0</v>
          </cell>
          <cell r="V21">
            <v>0</v>
          </cell>
          <cell r="W21">
            <v>7.3716864726915032</v>
          </cell>
          <cell r="X21">
            <v>10.533028993761393</v>
          </cell>
          <cell r="AB21">
            <v>7.4461479522136393</v>
          </cell>
          <cell r="AC21">
            <v>10.639423226021609</v>
          </cell>
        </row>
        <row r="23">
          <cell r="I23">
            <v>0.1</v>
          </cell>
          <cell r="N23">
            <v>0.1</v>
          </cell>
          <cell r="S23">
            <v>1.7999999999999999E-2</v>
          </cell>
          <cell r="X23">
            <v>0.01</v>
          </cell>
          <cell r="AC23">
            <v>0.18</v>
          </cell>
        </row>
        <row r="25">
          <cell r="F25">
            <v>7.67</v>
          </cell>
          <cell r="H25">
            <v>55.25</v>
          </cell>
          <cell r="I25">
            <v>73.84</v>
          </cell>
          <cell r="K25">
            <v>5.1847500000000002</v>
          </cell>
          <cell r="L25">
            <v>0</v>
          </cell>
          <cell r="M25">
            <v>69.777900000000002</v>
          </cell>
          <cell r="N25">
            <v>52.554299999999998</v>
          </cell>
          <cell r="R25">
            <v>64.153999999999996</v>
          </cell>
          <cell r="S25">
            <v>77.436999999999998</v>
          </cell>
          <cell r="X25">
            <v>0.01</v>
          </cell>
          <cell r="Z25">
            <v>5.5750000000000002</v>
          </cell>
          <cell r="AA25">
            <v>0</v>
          </cell>
          <cell r="AB25">
            <v>75.03</v>
          </cell>
          <cell r="AC25">
            <v>56.51</v>
          </cell>
        </row>
      </sheetData>
      <sheetData sheetId="7" refreshError="1">
        <row r="10">
          <cell r="E10">
            <v>147.66999999999999</v>
          </cell>
          <cell r="F10">
            <v>147.19999999999999</v>
          </cell>
          <cell r="G10">
            <v>156.80000000000001</v>
          </cell>
          <cell r="H10">
            <v>153.61924999999999</v>
          </cell>
          <cell r="I10">
            <v>155.38999999999999</v>
          </cell>
          <cell r="J10">
            <v>99.100765306122426</v>
          </cell>
          <cell r="K10">
            <v>101.15268757007992</v>
          </cell>
          <cell r="L10">
            <v>105.22787295997833</v>
          </cell>
          <cell r="M10">
            <v>105.56385869565217</v>
          </cell>
        </row>
        <row r="11">
          <cell r="E11">
            <v>217.04231122867182</v>
          </cell>
          <cell r="F11">
            <v>191.71246021160925</v>
          </cell>
          <cell r="G11">
            <v>227.98223572014058</v>
          </cell>
          <cell r="H11">
            <v>202.19246352730849</v>
          </cell>
          <cell r="I11">
            <v>204.45385204778634</v>
          </cell>
          <cell r="J11">
            <v>89.679729388549163</v>
          </cell>
          <cell r="K11">
            <v>101.1184336354715</v>
          </cell>
          <cell r="L11">
            <v>94.199997636579482</v>
          </cell>
          <cell r="M11">
            <v>106.64609479327183</v>
          </cell>
        </row>
        <row r="12">
          <cell r="E12">
            <v>136.76</v>
          </cell>
          <cell r="F12">
            <v>127.51694999999999</v>
          </cell>
          <cell r="G12">
            <v>141.59100000000001</v>
          </cell>
          <cell r="H12">
            <v>0.01</v>
          </cell>
          <cell r="I12">
            <v>137.11500000000001</v>
          </cell>
          <cell r="J12">
            <v>96.838782125982576</v>
          </cell>
          <cell r="K12">
            <v>1371150</v>
          </cell>
          <cell r="L12">
            <v>100.25957882421761</v>
          </cell>
          <cell r="M12">
            <v>107.52688172043013</v>
          </cell>
        </row>
        <row r="13">
          <cell r="E13">
            <v>83675.862068224087</v>
          </cell>
          <cell r="F13">
            <v>114126.09082645236</v>
          </cell>
          <cell r="G13">
            <v>120974.44770220658</v>
          </cell>
          <cell r="H13">
            <v>204233.65902357714</v>
          </cell>
          <cell r="I13">
            <v>250167.36160335306</v>
          </cell>
          <cell r="J13">
            <v>206.793555461539</v>
          </cell>
          <cell r="K13">
            <v>122.49076023970819</v>
          </cell>
          <cell r="L13">
            <v>298.971956093362</v>
          </cell>
          <cell r="M13">
            <v>219.20260283318913</v>
          </cell>
        </row>
        <row r="14">
          <cell r="E14">
            <v>14895.575221238938</v>
          </cell>
          <cell r="F14">
            <v>31073.79</v>
          </cell>
          <cell r="G14">
            <v>22086.6</v>
          </cell>
          <cell r="H14">
            <v>21534</v>
          </cell>
          <cell r="I14">
            <v>30571.744516899995</v>
          </cell>
          <cell r="J14">
            <v>138.41761301830067</v>
          </cell>
          <cell r="K14">
            <v>141.96965039890404</v>
          </cell>
          <cell r="L14">
            <v>205.24044263365607</v>
          </cell>
          <cell r="M14">
            <v>98.38434422354014</v>
          </cell>
        </row>
        <row r="15">
          <cell r="E15">
            <v>4389.3805309734516</v>
          </cell>
          <cell r="F15">
            <v>4929.42</v>
          </cell>
          <cell r="G15">
            <v>5624.6</v>
          </cell>
          <cell r="H15">
            <v>5448</v>
          </cell>
          <cell r="I15">
            <v>7042.0529999999999</v>
          </cell>
          <cell r="J15">
            <v>125.20095651246311</v>
          </cell>
          <cell r="K15">
            <v>129.25941629955946</v>
          </cell>
          <cell r="L15">
            <v>160.43386874999999</v>
          </cell>
          <cell r="M15">
            <v>142.85763842399308</v>
          </cell>
        </row>
        <row r="16">
          <cell r="E16">
            <v>10506.194690265487</v>
          </cell>
          <cell r="F16">
            <v>26144.37</v>
          </cell>
          <cell r="G16">
            <v>16462</v>
          </cell>
          <cell r="H16">
            <v>16086</v>
          </cell>
          <cell r="I16">
            <v>23529.691516899995</v>
          </cell>
          <cell r="J16">
            <v>142.93337089600288</v>
          </cell>
          <cell r="K16">
            <v>146.2743473635459</v>
          </cell>
          <cell r="L16">
            <v>223.96017026698951</v>
          </cell>
          <cell r="M16">
            <v>89.99907634760369</v>
          </cell>
        </row>
        <row r="17">
          <cell r="E17">
            <v>1413.4769999999999</v>
          </cell>
          <cell r="F17">
            <v>1623.4855139999997</v>
          </cell>
          <cell r="G17">
            <v>1524.8142</v>
          </cell>
          <cell r="H17">
            <v>1526.1174599999999</v>
          </cell>
          <cell r="I17">
            <v>1794.2848177999258</v>
          </cell>
          <cell r="J17">
            <v>117.6723575764133</v>
          </cell>
          <cell r="K17">
            <v>117.57186879966146</v>
          </cell>
          <cell r="L17">
            <v>126.94121077314495</v>
          </cell>
          <cell r="M17">
            <v>110.52053143234428</v>
          </cell>
        </row>
        <row r="18">
          <cell r="E18">
            <v>1413.4769999999999</v>
          </cell>
          <cell r="F18">
            <v>1623.4855139999997</v>
          </cell>
          <cell r="G18">
            <v>1524.8142</v>
          </cell>
          <cell r="H18">
            <v>1526.1174599999999</v>
          </cell>
          <cell r="I18">
            <v>1794.2848177999258</v>
          </cell>
          <cell r="J18">
            <v>117.6723575764133</v>
          </cell>
          <cell r="K18">
            <v>117.57186879966146</v>
          </cell>
          <cell r="L18">
            <v>126.94121077314495</v>
          </cell>
          <cell r="M18">
            <v>110.52053143234428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14240.077600000002</v>
          </cell>
          <cell r="F20">
            <v>15361.0034</v>
          </cell>
          <cell r="G20">
            <v>15550.872815561321</v>
          </cell>
          <cell r="H20">
            <v>16644.115938288003</v>
          </cell>
          <cell r="I20">
            <v>17507.496841422879</v>
          </cell>
          <cell r="J20">
            <v>112.58208493547461</v>
          </cell>
          <cell r="K20">
            <v>105.18730406791244</v>
          </cell>
          <cell r="L20">
            <v>122.9452348028137</v>
          </cell>
          <cell r="M20">
            <v>113.97365383971518</v>
          </cell>
        </row>
        <row r="21">
          <cell r="E21">
            <v>7.760000000052969E-2</v>
          </cell>
          <cell r="F21">
            <v>530.0033999999996</v>
          </cell>
          <cell r="G21">
            <v>710.87281556132075</v>
          </cell>
          <cell r="H21">
            <v>13141.115938288003</v>
          </cell>
          <cell r="I21">
            <v>4437.0568414228801</v>
          </cell>
          <cell r="J21">
            <v>624.17027973130223</v>
          </cell>
          <cell r="K21">
            <v>33.764688343514685</v>
          </cell>
          <cell r="L21">
            <v>5717856.7543718982</v>
          </cell>
          <cell r="M21">
            <v>837.17516555985935</v>
          </cell>
        </row>
        <row r="22">
          <cell r="E22">
            <v>14240.000000000002</v>
          </cell>
          <cell r="F22">
            <v>14831</v>
          </cell>
          <cell r="G22">
            <v>14840</v>
          </cell>
          <cell r="H22">
            <v>3503</v>
          </cell>
          <cell r="I22">
            <v>13070.439999999999</v>
          </cell>
          <cell r="J22">
            <v>88.075741239892167</v>
          </cell>
          <cell r="K22">
            <v>373.12132457893227</v>
          </cell>
          <cell r="L22">
            <v>91.786797752808965</v>
          </cell>
          <cell r="M22">
            <v>88.129188861169155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E25">
            <v>9368.6833910663063</v>
          </cell>
          <cell r="F25">
            <v>9757.5100683219353</v>
          </cell>
          <cell r="G25">
            <v>9763.4312867573008</v>
          </cell>
          <cell r="H25">
            <v>2304.6697976759315</v>
          </cell>
          <cell r="I25">
            <v>9203.24</v>
          </cell>
          <cell r="J25">
            <v>94.262352340031114</v>
          </cell>
          <cell r="K25">
            <v>399.33009098660051</v>
          </cell>
          <cell r="L25">
            <v>98.234080668964978</v>
          </cell>
          <cell r="M25">
            <v>94.319554226017246</v>
          </cell>
        </row>
        <row r="26">
          <cell r="E26">
            <v>4871.3166089336955</v>
          </cell>
          <cell r="F26">
            <v>5073.4899316780638</v>
          </cell>
          <cell r="G26">
            <v>5076.5687132426992</v>
          </cell>
          <cell r="H26">
            <v>1198.3302023240683</v>
          </cell>
          <cell r="I26">
            <v>3867.2</v>
          </cell>
          <cell r="J26">
            <v>76.177438314033864</v>
          </cell>
          <cell r="K26">
            <v>322.71572497295534</v>
          </cell>
          <cell r="L26">
            <v>79.387161838501569</v>
          </cell>
          <cell r="M26">
            <v>76.223665604494812</v>
          </cell>
        </row>
        <row r="27">
          <cell r="E27">
            <v>35401.953485923201</v>
          </cell>
          <cell r="F27">
            <v>36773.579169089513</v>
          </cell>
          <cell r="G27">
            <v>45029.914686645279</v>
          </cell>
          <cell r="H27">
            <v>50489.425625289128</v>
          </cell>
          <cell r="I27">
            <v>67974.964403809645</v>
          </cell>
          <cell r="J27">
            <v>150.95512589094307</v>
          </cell>
          <cell r="K27">
            <v>134.63208099908027</v>
          </cell>
          <cell r="L27">
            <v>192.00907777825981</v>
          </cell>
          <cell r="M27">
            <v>184.84728965666426</v>
          </cell>
        </row>
        <row r="28">
          <cell r="E28">
            <v>9357.5221238938066</v>
          </cell>
          <cell r="F28">
            <v>9583.1858407079653</v>
          </cell>
          <cell r="G28">
            <v>11887.92</v>
          </cell>
          <cell r="H28">
            <v>13361</v>
          </cell>
          <cell r="I28">
            <v>15856.486800000002</v>
          </cell>
          <cell r="J28">
            <v>133.38318898512105</v>
          </cell>
          <cell r="K28">
            <v>118.67739540453562</v>
          </cell>
          <cell r="L28">
            <v>169.45176928314734</v>
          </cell>
          <cell r="M28">
            <v>165.46153923723338</v>
          </cell>
        </row>
        <row r="29">
          <cell r="E29">
            <v>2853.9823008849562</v>
          </cell>
          <cell r="F29">
            <v>3925.6637168141597</v>
          </cell>
          <cell r="G29">
            <v>4318.2259999999997</v>
          </cell>
          <cell r="H29">
            <v>6029</v>
          </cell>
          <cell r="I29">
            <v>8686.6</v>
          </cell>
          <cell r="J29">
            <v>201.16131022322597</v>
          </cell>
          <cell r="K29">
            <v>144.08027865317632</v>
          </cell>
          <cell r="L29">
            <v>304.36768992248057</v>
          </cell>
          <cell r="M29">
            <v>221.27723174030658</v>
          </cell>
        </row>
        <row r="30">
          <cell r="E30">
            <v>5513.2743362831861</v>
          </cell>
          <cell r="F30">
            <v>15785.38318584071</v>
          </cell>
          <cell r="G30">
            <v>20576.099999999999</v>
          </cell>
          <cell r="H30">
            <v>94650</v>
          </cell>
          <cell r="I30">
            <v>107775.78422342062</v>
          </cell>
          <cell r="J30">
            <v>523.791117964146</v>
          </cell>
          <cell r="K30">
            <v>113.86770652236726</v>
          </cell>
          <cell r="L30">
            <v>1954.8416721101971</v>
          </cell>
          <cell r="M30">
            <v>682.75684507991002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E36">
            <v>176.9911504424779</v>
          </cell>
          <cell r="F36">
            <v>2484.4982300884958</v>
          </cell>
          <cell r="G36">
            <v>6065.8</v>
          </cell>
          <cell r="H36">
            <v>1185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1124.7787610619471</v>
          </cell>
          <cell r="F37">
            <v>736.72566371681432</v>
          </cell>
          <cell r="G37">
            <v>1221.3200000000002</v>
          </cell>
          <cell r="H37">
            <v>1121</v>
          </cell>
          <cell r="I37">
            <v>54.882629999999999</v>
          </cell>
          <cell r="J37">
            <v>4.4937141781023797</v>
          </cell>
          <cell r="K37">
            <v>4.8958635147190011</v>
          </cell>
          <cell r="L37">
            <v>4.8794155704169935</v>
          </cell>
          <cell r="M37">
            <v>7.4495341621621609</v>
          </cell>
        </row>
        <row r="38">
          <cell r="E38">
            <v>1039.8230088495577</v>
          </cell>
          <cell r="F38">
            <v>573.45132743362842</v>
          </cell>
          <cell r="G38">
            <v>1067.42</v>
          </cell>
          <cell r="H38">
            <v>970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E39">
            <v>52.212389380530979</v>
          </cell>
          <cell r="F39">
            <v>125.6637168141593</v>
          </cell>
          <cell r="G39">
            <v>113.97</v>
          </cell>
          <cell r="H39">
            <v>111</v>
          </cell>
          <cell r="I39">
            <v>14.882630000000001</v>
          </cell>
          <cell r="J39">
            <v>13.058375010967799</v>
          </cell>
          <cell r="K39">
            <v>13.407774774774776</v>
          </cell>
          <cell r="L39">
            <v>28.504020169491522</v>
          </cell>
          <cell r="M39">
            <v>11.843219647887324</v>
          </cell>
        </row>
        <row r="40">
          <cell r="E40">
            <v>32.743362831858413</v>
          </cell>
          <cell r="F40">
            <v>37.610619469026553</v>
          </cell>
          <cell r="G40">
            <v>39.93</v>
          </cell>
          <cell r="H40">
            <v>40</v>
          </cell>
          <cell r="I40">
            <v>40</v>
          </cell>
          <cell r="J40">
            <v>100.17530678687703</v>
          </cell>
          <cell r="K40">
            <v>100</v>
          </cell>
          <cell r="L40">
            <v>122.16216216216213</v>
          </cell>
          <cell r="M40">
            <v>106.35294117647058</v>
          </cell>
        </row>
        <row r="41">
          <cell r="E41">
            <v>4211.5044247787609</v>
          </cell>
          <cell r="F41">
            <v>12564.1592920354</v>
          </cell>
          <cell r="G41">
            <v>13288.98</v>
          </cell>
          <cell r="H41">
            <v>92344</v>
          </cell>
          <cell r="I41">
            <v>107720.90159342063</v>
          </cell>
          <cell r="J41">
            <v>810.60323360724919</v>
          </cell>
          <cell r="K41">
            <v>116.65176036712795</v>
          </cell>
          <cell r="L41">
            <v>2557.7772389276174</v>
          </cell>
          <cell r="M41">
            <v>857.36657017478637</v>
          </cell>
        </row>
        <row r="42">
          <cell r="E42">
            <v>918.58407079646031</v>
          </cell>
          <cell r="F42">
            <v>1096.4601769911505</v>
          </cell>
          <cell r="G42">
            <v>295.7</v>
          </cell>
          <cell r="H42">
            <v>725</v>
          </cell>
          <cell r="I42">
            <v>1523.413</v>
          </cell>
          <cell r="J42">
            <v>515.18870476834627</v>
          </cell>
          <cell r="K42">
            <v>210.12593103448273</v>
          </cell>
          <cell r="L42">
            <v>165.84361175337185</v>
          </cell>
          <cell r="M42">
            <v>138.9392001614205</v>
          </cell>
        </row>
        <row r="43">
          <cell r="E43">
            <v>870.79646017699122</v>
          </cell>
          <cell r="F43">
            <v>1518.5840707964603</v>
          </cell>
          <cell r="G43">
            <v>1057</v>
          </cell>
          <cell r="H43">
            <v>1976</v>
          </cell>
          <cell r="I43">
            <v>2038.47199</v>
          </cell>
          <cell r="J43">
            <v>192.85449290444654</v>
          </cell>
          <cell r="K43">
            <v>103.16153795546559</v>
          </cell>
          <cell r="L43">
            <v>234.09281998983738</v>
          </cell>
          <cell r="M43">
            <v>134.2350436305361</v>
          </cell>
        </row>
        <row r="44">
          <cell r="F44">
            <v>710.6194690265487</v>
          </cell>
          <cell r="G44">
            <v>679</v>
          </cell>
          <cell r="H44">
            <v>264</v>
          </cell>
          <cell r="I44">
            <v>542.11282499999993</v>
          </cell>
          <cell r="J44">
            <v>79.839885861561115</v>
          </cell>
          <cell r="K44">
            <v>205.34576704545452</v>
          </cell>
          <cell r="L44">
            <v>0</v>
          </cell>
          <cell r="M44">
            <v>76.287358935242821</v>
          </cell>
        </row>
        <row r="45">
          <cell r="G45">
            <v>371.5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E46">
            <v>359.2920353982301</v>
          </cell>
          <cell r="F46">
            <v>579.64601769911508</v>
          </cell>
          <cell r="G46">
            <v>142.88</v>
          </cell>
          <cell r="H46">
            <v>935</v>
          </cell>
          <cell r="I46">
            <v>2206.6385432881357</v>
          </cell>
          <cell r="J46">
            <v>1544.3998763214836</v>
          </cell>
          <cell r="K46">
            <v>236.00412227680593</v>
          </cell>
          <cell r="L46">
            <v>614.16294431418555</v>
          </cell>
          <cell r="M46">
            <v>380.68726013978522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E48">
            <v>203.53982300884957</v>
          </cell>
          <cell r="F48">
            <v>666.37168141592929</v>
          </cell>
          <cell r="G48">
            <v>247.3</v>
          </cell>
          <cell r="H48">
            <v>228</v>
          </cell>
          <cell r="I48">
            <v>1169.5153500000001</v>
          </cell>
          <cell r="J48">
            <v>472.91360695511526</v>
          </cell>
          <cell r="K48">
            <v>512.94532894736847</v>
          </cell>
          <cell r="L48">
            <v>574.58797630434788</v>
          </cell>
          <cell r="M48">
            <v>175.50495956175297</v>
          </cell>
        </row>
        <row r="49">
          <cell r="E49">
            <v>200</v>
          </cell>
          <cell r="F49">
            <v>158.40707964601771</v>
          </cell>
          <cell r="G49">
            <v>296.7</v>
          </cell>
          <cell r="H49">
            <v>250</v>
          </cell>
          <cell r="I49">
            <v>317.68299999999999</v>
          </cell>
          <cell r="J49">
            <v>107.07212672733402</v>
          </cell>
          <cell r="K49">
            <v>127.0732</v>
          </cell>
          <cell r="L49">
            <v>158.8415</v>
          </cell>
          <cell r="M49">
            <v>200.54848603351957</v>
          </cell>
        </row>
        <row r="50">
          <cell r="E50">
            <v>468.14159292035401</v>
          </cell>
          <cell r="F50">
            <v>2860.4424778761068</v>
          </cell>
          <cell r="G50">
            <v>681.6</v>
          </cell>
          <cell r="H50">
            <v>3497</v>
          </cell>
          <cell r="I50">
            <v>3470.0727090999999</v>
          </cell>
          <cell r="J50">
            <v>509.10691154636146</v>
          </cell>
          <cell r="K50">
            <v>99.229988821847286</v>
          </cell>
          <cell r="L50">
            <v>741.24426489281655</v>
          </cell>
          <cell r="M50">
            <v>121.31244504789156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F52">
            <v>2162.8318584070798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E53">
            <v>1191.1504424778761</v>
          </cell>
          <cell r="F53">
            <v>2810.7964601769913</v>
          </cell>
          <cell r="G53">
            <v>9517.2999999999993</v>
          </cell>
          <cell r="H53">
            <v>84469</v>
          </cell>
          <cell r="I53">
            <v>96452.994176032487</v>
          </cell>
          <cell r="J53">
            <v>1013.4491313296049</v>
          </cell>
          <cell r="K53">
            <v>114.1874464904669</v>
          </cell>
          <cell r="L53">
            <v>8097.4653357293246</v>
          </cell>
          <cell r="M53">
            <v>3431.5182740040518</v>
          </cell>
        </row>
        <row r="54">
          <cell r="E54">
            <v>3886.4955752212391</v>
          </cell>
          <cell r="F54">
            <v>10135.265486725664</v>
          </cell>
          <cell r="G54">
            <v>924.82</v>
          </cell>
          <cell r="H54">
            <v>4591</v>
          </cell>
          <cell r="I54">
            <v>236.64614999999998</v>
          </cell>
          <cell r="J54">
            <v>25.588346921563108</v>
          </cell>
          <cell r="K54">
            <v>5.1545665432367676</v>
          </cell>
          <cell r="L54">
            <v>6.0889339874400576</v>
          </cell>
          <cell r="M54">
            <v>2.3348786502922847</v>
          </cell>
        </row>
        <row r="55">
          <cell r="E55">
            <v>88.495575221238951</v>
          </cell>
          <cell r="F55">
            <v>395.13274336283189</v>
          </cell>
          <cell r="G55">
            <v>263.60000000000002</v>
          </cell>
          <cell r="H55">
            <v>66</v>
          </cell>
          <cell r="I55">
            <v>121.64615000000002</v>
          </cell>
          <cell r="J55">
            <v>46.148008345978759</v>
          </cell>
          <cell r="K55">
            <v>184.31234848484851</v>
          </cell>
          <cell r="L55">
            <v>137.4601495</v>
          </cell>
          <cell r="M55">
            <v>30.786147704367306</v>
          </cell>
        </row>
        <row r="56">
          <cell r="F56">
            <v>7845.132743362833</v>
          </cell>
          <cell r="H56">
            <v>3913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624.99999999999989</v>
          </cell>
          <cell r="F57">
            <v>618.99999999999989</v>
          </cell>
          <cell r="G57">
            <v>656.25</v>
          </cell>
          <cell r="H57">
            <v>611.99999999999989</v>
          </cell>
          <cell r="I57">
            <v>114.99999999999997</v>
          </cell>
          <cell r="J57">
            <v>17.523809523809518</v>
          </cell>
          <cell r="K57">
            <v>18.790849673202615</v>
          </cell>
          <cell r="L57">
            <v>18.399999999999999</v>
          </cell>
          <cell r="M57">
            <v>18.578352180936992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E60">
            <v>510.95964151743789</v>
          </cell>
          <cell r="F60">
            <v>506.05442895887046</v>
          </cell>
          <cell r="G60">
            <v>538.125</v>
          </cell>
          <cell r="H60">
            <v>500.33168097387511</v>
          </cell>
          <cell r="I60">
            <v>94.016574039208564</v>
          </cell>
          <cell r="J60">
            <v>17.471140355718202</v>
          </cell>
          <cell r="K60">
            <v>18.790849673202615</v>
          </cell>
          <cell r="L60">
            <v>18.399999999999999</v>
          </cell>
          <cell r="M60">
            <v>18.578352180936992</v>
          </cell>
        </row>
        <row r="61">
          <cell r="E61">
            <v>114.04035848256204</v>
          </cell>
          <cell r="F61">
            <v>112.94557104112944</v>
          </cell>
          <cell r="G61">
            <v>118.125</v>
          </cell>
          <cell r="H61">
            <v>111.66831902612475</v>
          </cell>
          <cell r="I61">
            <v>20.983425960791415</v>
          </cell>
          <cell r="J61">
            <v>17.763746845114426</v>
          </cell>
          <cell r="K61">
            <v>18.790849673202615</v>
          </cell>
          <cell r="L61">
            <v>18.399999999999999</v>
          </cell>
          <cell r="M61">
            <v>18.578352180936996</v>
          </cell>
        </row>
        <row r="62">
          <cell r="E62">
            <v>3173</v>
          </cell>
          <cell r="F62">
            <v>1276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G63">
            <v>4.97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87562.357643445328</v>
          </cell>
          <cell r="F64">
            <v>124261.35631317802</v>
          </cell>
          <cell r="G64">
            <v>121899.26770220659</v>
          </cell>
          <cell r="H64">
            <v>208824.65902357714</v>
          </cell>
          <cell r="I64">
            <v>250404.00775335304</v>
          </cell>
          <cell r="J64">
            <v>205.41879575936147</v>
          </cell>
          <cell r="K64">
            <v>119.91112971245481</v>
          </cell>
          <cell r="L64">
            <v>285.9722082552874</v>
          </cell>
          <cell r="M64">
            <v>201.51398245022816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69312.244873050324</v>
          </cell>
          <cell r="F67">
            <v>98787.40652534581</v>
          </cell>
          <cell r="G67">
            <v>96708.629026740295</v>
          </cell>
          <cell r="H67">
            <v>159419.07204005332</v>
          </cell>
          <cell r="I67">
            <v>199520.20476163572</v>
          </cell>
          <cell r="J67">
            <v>206.31065373335781</v>
          </cell>
          <cell r="K67">
            <v>125.15453904505678</v>
          </cell>
          <cell r="L67">
            <v>287.85708084779156</v>
          </cell>
          <cell r="M67">
            <v>201.96927096212914</v>
          </cell>
        </row>
        <row r="68">
          <cell r="E68">
            <v>18250.035170394989</v>
          </cell>
          <cell r="F68">
            <v>24943.946387832206</v>
          </cell>
          <cell r="G68">
            <v>24479.765859904961</v>
          </cell>
          <cell r="H68">
            <v>36264.471045235798</v>
          </cell>
          <cell r="I68">
            <v>46446.746150294442</v>
          </cell>
          <cell r="J68">
            <v>189.73525488807419</v>
          </cell>
          <cell r="K68">
            <v>128.07782606937081</v>
          </cell>
          <cell r="L68">
            <v>254.50222816907146</v>
          </cell>
          <cell r="M68">
            <v>186.20448195379149</v>
          </cell>
        </row>
        <row r="70">
          <cell r="E70">
            <v>0</v>
          </cell>
          <cell r="F70">
            <v>0</v>
          </cell>
          <cell r="G70">
            <v>4671.32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G77">
            <v>4671.32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18736.944210526319</v>
          </cell>
          <cell r="F83">
            <v>20211.846578947367</v>
          </cell>
          <cell r="G83">
            <v>26608.148441528057</v>
          </cell>
          <cell r="H83">
            <v>21900.152550378953</v>
          </cell>
          <cell r="I83">
            <v>23036.180054503788</v>
          </cell>
          <cell r="J83">
            <v>86.575659727418682</v>
          </cell>
          <cell r="K83">
            <v>105.18730406791244</v>
          </cell>
          <cell r="L83">
            <v>122.9452348028137</v>
          </cell>
          <cell r="M83">
            <v>113.97365383971518</v>
          </cell>
        </row>
        <row r="84">
          <cell r="E84">
            <v>4496.8666105263164</v>
          </cell>
          <cell r="F84">
            <v>4850.843178947368</v>
          </cell>
          <cell r="G84">
            <v>6385.9556259667334</v>
          </cell>
          <cell r="H84">
            <v>5256.0366120909484</v>
          </cell>
          <cell r="I84">
            <v>5528.6832130809089</v>
          </cell>
          <cell r="J84">
            <v>86.575659727418682</v>
          </cell>
          <cell r="K84">
            <v>105.18730406791244</v>
          </cell>
          <cell r="L84">
            <v>122.94523480281367</v>
          </cell>
          <cell r="M84">
            <v>113.97365383971518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E87">
            <v>0.81753542642790067</v>
          </cell>
          <cell r="F87">
            <v>0.81753542642790067</v>
          </cell>
          <cell r="G87">
            <v>0.81753542642790067</v>
          </cell>
          <cell r="H87">
            <v>0.81753542642790067</v>
          </cell>
          <cell r="I87">
            <v>18824.562431016675</v>
          </cell>
          <cell r="J87">
            <v>2302598.9850088577</v>
          </cell>
          <cell r="K87">
            <v>2302598.9850088577</v>
          </cell>
          <cell r="L87">
            <v>2302598.9850088577</v>
          </cell>
          <cell r="M87">
            <v>2302598.9850088577</v>
          </cell>
        </row>
        <row r="88">
          <cell r="E88">
            <v>0.18246457357209925</v>
          </cell>
          <cell r="F88">
            <v>0.18246457357209925</v>
          </cell>
          <cell r="G88">
            <v>0.18246457357209925</v>
          </cell>
          <cell r="H88">
            <v>0.18246457357209925</v>
          </cell>
          <cell r="I88">
            <v>4211.6176234871145</v>
          </cell>
          <cell r="J88">
            <v>2308183.7427597591</v>
          </cell>
          <cell r="K88">
            <v>2308183.7427597591</v>
          </cell>
          <cell r="L88">
            <v>2308183.7427597591</v>
          </cell>
          <cell r="M88">
            <v>2308183.7427597591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4496.8666105263164</v>
          </cell>
          <cell r="F92">
            <v>4850.843178947368</v>
          </cell>
          <cell r="G92">
            <v>11057.275625966733</v>
          </cell>
          <cell r="H92">
            <v>5256.0366120909484</v>
          </cell>
          <cell r="I92">
            <v>5528.6832130809089</v>
          </cell>
          <cell r="J92">
            <v>50.000410590267244</v>
          </cell>
          <cell r="K92">
            <v>105.18730406791244</v>
          </cell>
          <cell r="L92">
            <v>122.94523480281367</v>
          </cell>
          <cell r="M92">
            <v>113.97365383971518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0.81753542642790067</v>
          </cell>
          <cell r="F95">
            <v>0.81753542642790067</v>
          </cell>
          <cell r="G95">
            <v>3819.7871236076085</v>
          </cell>
          <cell r="H95">
            <v>0.81753542642790067</v>
          </cell>
          <cell r="I95">
            <v>18824.562431016675</v>
          </cell>
          <cell r="J95">
            <v>492.81705555459763</v>
          </cell>
          <cell r="K95">
            <v>2302598.9850088577</v>
          </cell>
          <cell r="L95">
            <v>2302598.9850088577</v>
          </cell>
          <cell r="M95">
            <v>2302598.9850088577</v>
          </cell>
        </row>
        <row r="96">
          <cell r="E96">
            <v>0.18246457357209925</v>
          </cell>
          <cell r="F96">
            <v>0.18246457357209925</v>
          </cell>
          <cell r="G96">
            <v>852.53287639239079</v>
          </cell>
          <cell r="H96">
            <v>0.18246457357209925</v>
          </cell>
          <cell r="I96">
            <v>4211.6176234871145</v>
          </cell>
          <cell r="J96">
            <v>494.01234135499254</v>
          </cell>
          <cell r="K96">
            <v>2308183.7427597591</v>
          </cell>
          <cell r="L96">
            <v>2308183.7427597591</v>
          </cell>
          <cell r="M96">
            <v>2308183.7427597591</v>
          </cell>
        </row>
        <row r="98">
          <cell r="E98">
            <v>92059.224253971639</v>
          </cell>
          <cell r="F98">
            <v>129112.19949212539</v>
          </cell>
          <cell r="G98">
            <v>132956.54332817331</v>
          </cell>
          <cell r="H98">
            <v>214080.69563566809</v>
          </cell>
          <cell r="I98">
            <v>255932.69096643396</v>
          </cell>
          <cell r="J98">
            <v>192.49349039913116</v>
          </cell>
          <cell r="K98">
            <v>119.54963534030712</v>
          </cell>
          <cell r="L98">
            <v>278.008741699116</v>
          </cell>
          <cell r="M98">
            <v>198.22502596436939</v>
          </cell>
        </row>
        <row r="101">
          <cell r="E101">
            <v>5.1356161843398462</v>
          </cell>
          <cell r="F101">
            <v>3.9037423402346465</v>
          </cell>
          <cell r="G101">
            <v>9.0708302308911879</v>
          </cell>
          <cell r="H101">
            <v>2.516961663755199</v>
          </cell>
          <cell r="I101">
            <v>2.2079052418867993</v>
          </cell>
          <cell r="J101">
            <v>24.340718387250398</v>
          </cell>
          <cell r="K101">
            <v>87.721051682316812</v>
          </cell>
          <cell r="L101">
            <v>42.99202204049859</v>
          </cell>
          <cell r="M101">
            <v>56.558682655118218</v>
          </cell>
        </row>
        <row r="102">
          <cell r="E102">
            <v>10.969826675512943</v>
          </cell>
          <cell r="F102">
            <v>15.385079133574838</v>
          </cell>
          <cell r="G102">
            <v>15.843173212731744</v>
          </cell>
          <cell r="H102">
            <v>25.509970833750561</v>
          </cell>
          <cell r="I102">
            <v>30.557521869470015</v>
          </cell>
          <cell r="J102">
            <v>192.87500969132662</v>
          </cell>
          <cell r="K102">
            <v>119.78658097500204</v>
          </cell>
          <cell r="L102">
            <v>278.55975097292196</v>
          </cell>
          <cell r="M102">
            <v>198.61790507651259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E121">
            <v>26.4</v>
          </cell>
          <cell r="F121">
            <v>26.4</v>
          </cell>
          <cell r="G121">
            <v>26.4</v>
          </cell>
          <cell r="H121">
            <v>26.4</v>
          </cell>
          <cell r="I121">
            <v>26.4</v>
          </cell>
          <cell r="J121">
            <v>100</v>
          </cell>
          <cell r="K121">
            <v>100</v>
          </cell>
          <cell r="L121">
            <v>100</v>
          </cell>
          <cell r="M121">
            <v>100</v>
          </cell>
        </row>
        <row r="123">
          <cell r="E123">
            <v>8392.0400000000009</v>
          </cell>
          <cell r="F123">
            <v>8392.0400000000009</v>
          </cell>
          <cell r="G123">
            <v>8392.0400000000009</v>
          </cell>
          <cell r="H123">
            <v>8392.0400000000009</v>
          </cell>
          <cell r="I123">
            <v>8375.44</v>
          </cell>
          <cell r="J123">
            <v>99.802193507180618</v>
          </cell>
          <cell r="K123">
            <v>99.802193507180618</v>
          </cell>
          <cell r="L123">
            <v>99.802193507180618</v>
          </cell>
          <cell r="M123">
            <v>99.802193507180618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E126">
            <v>6860.79</v>
          </cell>
          <cell r="F126">
            <v>6860.79</v>
          </cell>
          <cell r="G126">
            <v>6860.79</v>
          </cell>
          <cell r="H126">
            <v>6860.79</v>
          </cell>
          <cell r="I126">
            <v>6844.1900000000005</v>
          </cell>
          <cell r="J126">
            <v>99.758045356292797</v>
          </cell>
          <cell r="K126">
            <v>99.758045356292797</v>
          </cell>
          <cell r="L126">
            <v>99.758045356292797</v>
          </cell>
          <cell r="M126">
            <v>99.758045356292797</v>
          </cell>
        </row>
        <row r="127">
          <cell r="E127">
            <v>1531.25</v>
          </cell>
          <cell r="F127">
            <v>1531.25</v>
          </cell>
          <cell r="G127">
            <v>1531.25</v>
          </cell>
          <cell r="H127">
            <v>1531.25</v>
          </cell>
          <cell r="I127">
            <v>1531.25</v>
          </cell>
          <cell r="J127">
            <v>100</v>
          </cell>
          <cell r="K127">
            <v>100</v>
          </cell>
          <cell r="L127">
            <v>100</v>
          </cell>
          <cell r="M127">
            <v>100</v>
          </cell>
        </row>
      </sheetData>
      <sheetData sheetId="8" refreshError="1">
        <row r="9">
          <cell r="E9">
            <v>407</v>
          </cell>
          <cell r="F9">
            <v>407</v>
          </cell>
          <cell r="G9">
            <v>414</v>
          </cell>
          <cell r="H9">
            <v>414</v>
          </cell>
          <cell r="I9">
            <v>468</v>
          </cell>
        </row>
        <row r="11">
          <cell r="E11">
            <v>407</v>
          </cell>
          <cell r="F11">
            <v>407</v>
          </cell>
          <cell r="G11">
            <v>414</v>
          </cell>
          <cell r="H11">
            <v>414</v>
          </cell>
          <cell r="I11">
            <v>468</v>
          </cell>
        </row>
        <row r="13">
          <cell r="E13">
            <v>407</v>
          </cell>
          <cell r="F13">
            <v>407</v>
          </cell>
          <cell r="G13">
            <v>414</v>
          </cell>
          <cell r="H13">
            <v>414</v>
          </cell>
          <cell r="I13">
            <v>468</v>
          </cell>
        </row>
        <row r="16">
          <cell r="E16">
            <v>407</v>
          </cell>
          <cell r="F16">
            <v>444</v>
          </cell>
          <cell r="G16">
            <v>414</v>
          </cell>
          <cell r="H16">
            <v>444</v>
          </cell>
          <cell r="I16">
            <v>468</v>
          </cell>
        </row>
        <row r="18">
          <cell r="E18">
            <v>3115.89</v>
          </cell>
          <cell r="F18">
            <v>3115.89</v>
          </cell>
          <cell r="G18">
            <v>3412.26</v>
          </cell>
          <cell r="H18">
            <v>3412.26</v>
          </cell>
          <cell r="I18">
            <v>3527.5</v>
          </cell>
        </row>
        <row r="19">
          <cell r="E19">
            <v>5.25</v>
          </cell>
          <cell r="F19">
            <v>5.25</v>
          </cell>
          <cell r="G19">
            <v>5.25</v>
          </cell>
          <cell r="H19">
            <v>5.25</v>
          </cell>
          <cell r="I19">
            <v>5.3201280081399034</v>
          </cell>
        </row>
        <row r="20">
          <cell r="E20">
            <v>1.35</v>
          </cell>
          <cell r="F20">
            <v>1.4961</v>
          </cell>
          <cell r="G20">
            <v>1.38</v>
          </cell>
          <cell r="H20">
            <v>1.51</v>
          </cell>
          <cell r="I20">
            <v>1.696632612396378</v>
          </cell>
        </row>
        <row r="23">
          <cell r="E23">
            <v>3.6</v>
          </cell>
          <cell r="F23">
            <v>6.6</v>
          </cell>
          <cell r="G23">
            <v>6.6</v>
          </cell>
          <cell r="H23">
            <v>6.6</v>
          </cell>
          <cell r="I23">
            <v>6.6</v>
          </cell>
        </row>
        <row r="26">
          <cell r="E26">
            <v>20</v>
          </cell>
          <cell r="F26">
            <v>14.5</v>
          </cell>
          <cell r="G26">
            <v>35.54</v>
          </cell>
          <cell r="H26">
            <v>27.5</v>
          </cell>
          <cell r="I26">
            <v>40</v>
          </cell>
        </row>
        <row r="29">
          <cell r="E29">
            <v>15</v>
          </cell>
          <cell r="F29">
            <v>11</v>
          </cell>
          <cell r="G29">
            <v>15</v>
          </cell>
          <cell r="H29">
            <v>15</v>
          </cell>
          <cell r="I29">
            <v>20</v>
          </cell>
        </row>
        <row r="32">
          <cell r="E32">
            <v>33</v>
          </cell>
          <cell r="F32">
            <v>15</v>
          </cell>
          <cell r="G32">
            <v>33</v>
          </cell>
          <cell r="H32">
            <v>33</v>
          </cell>
          <cell r="I32">
            <v>33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/>
      <sheetData sheetId="10" refreshError="1">
        <row r="11">
          <cell r="D11">
            <v>20114.53</v>
          </cell>
          <cell r="I11">
            <v>460.2</v>
          </cell>
        </row>
        <row r="12">
          <cell r="D12">
            <v>134612.63</v>
          </cell>
          <cell r="I12">
            <v>2511.1</v>
          </cell>
        </row>
        <row r="16">
          <cell r="D16">
            <v>162031.72</v>
          </cell>
          <cell r="I16">
            <v>5065.5</v>
          </cell>
        </row>
        <row r="17">
          <cell r="D17">
            <v>43071.72</v>
          </cell>
          <cell r="E17">
            <v>2297.29</v>
          </cell>
          <cell r="I17">
            <v>1356.1</v>
          </cell>
        </row>
        <row r="20">
          <cell r="D20">
            <v>0</v>
          </cell>
          <cell r="I20">
            <v>0</v>
          </cell>
        </row>
        <row r="21">
          <cell r="D21">
            <v>129457.68</v>
          </cell>
          <cell r="E21">
            <v>866.7</v>
          </cell>
          <cell r="I21">
            <v>3677.54</v>
          </cell>
        </row>
        <row r="22">
          <cell r="D22">
            <v>0</v>
          </cell>
          <cell r="I22">
            <v>0</v>
          </cell>
        </row>
      </sheetData>
      <sheetData sheetId="11" refreshError="1">
        <row r="8">
          <cell r="E8">
            <v>87562.280043445309</v>
          </cell>
          <cell r="F8">
            <v>123731.35291317801</v>
          </cell>
          <cell r="G8">
            <v>121188.39488664526</v>
          </cell>
          <cell r="H8">
            <v>195683.54308528913</v>
          </cell>
          <cell r="I8">
            <v>245966.95091193015</v>
          </cell>
          <cell r="J8">
            <v>2.0296246281832326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69312.244873050324</v>
          </cell>
          <cell r="F10">
            <v>98787.40652534581</v>
          </cell>
          <cell r="G10">
            <v>96708.629026740295</v>
          </cell>
          <cell r="H10">
            <v>159419.07204005332</v>
          </cell>
          <cell r="I10">
            <v>199520.20476163572</v>
          </cell>
          <cell r="J10">
            <v>2.063106537333578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69312.244873050324</v>
          </cell>
          <cell r="F13">
            <v>98787.40652534581</v>
          </cell>
          <cell r="G13">
            <v>96708.629026740295</v>
          </cell>
          <cell r="H13">
            <v>159419.07204005332</v>
          </cell>
          <cell r="I13">
            <v>199520.20476163572</v>
          </cell>
          <cell r="J13">
            <v>2.063106537333578</v>
          </cell>
        </row>
        <row r="14">
          <cell r="E14">
            <v>18250.035170394989</v>
          </cell>
          <cell r="F14">
            <v>24943.946387832206</v>
          </cell>
          <cell r="G14">
            <v>24479.765859904961</v>
          </cell>
          <cell r="H14">
            <v>36264.471045235798</v>
          </cell>
          <cell r="I14">
            <v>46446.746150294442</v>
          </cell>
          <cell r="J14">
            <v>1.8973525488807419</v>
          </cell>
        </row>
        <row r="15">
          <cell r="E15">
            <v>0.99999999999999989</v>
          </cell>
          <cell r="F15">
            <v>0.99999999999999989</v>
          </cell>
          <cell r="G15">
            <v>4672.32</v>
          </cell>
          <cell r="H15">
            <v>0.99999999999999989</v>
          </cell>
          <cell r="I15">
            <v>23036.180054503791</v>
          </cell>
          <cell r="J15">
            <v>4.9303515286846347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0.81753542642790067</v>
          </cell>
          <cell r="F17">
            <v>0.81753542642790067</v>
          </cell>
          <cell r="G17">
            <v>3819.7871236076085</v>
          </cell>
          <cell r="H17">
            <v>0.81753542642790067</v>
          </cell>
          <cell r="I17">
            <v>18824.562431016675</v>
          </cell>
          <cell r="J17">
            <v>4.9281705555459761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0.81753542642790067</v>
          </cell>
          <cell r="F20">
            <v>0.81753542642790067</v>
          </cell>
          <cell r="G20">
            <v>3819.7871236076085</v>
          </cell>
          <cell r="H20">
            <v>0.81753542642790067</v>
          </cell>
          <cell r="I20">
            <v>18824.562431016675</v>
          </cell>
          <cell r="J20">
            <v>4.9281705555459761</v>
          </cell>
        </row>
        <row r="21">
          <cell r="E21">
            <v>0.18246457357209925</v>
          </cell>
          <cell r="F21">
            <v>0.18246457357209925</v>
          </cell>
          <cell r="G21">
            <v>852.53287639239079</v>
          </cell>
          <cell r="H21">
            <v>0.18246457357209925</v>
          </cell>
          <cell r="I21">
            <v>4211.6176234871145</v>
          </cell>
          <cell r="J21">
            <v>4.9401234135499257</v>
          </cell>
        </row>
        <row r="22">
          <cell r="E22">
            <v>1.1420442678101064E-3</v>
          </cell>
          <cell r="F22">
            <v>8.0820259090005865E-4</v>
          </cell>
          <cell r="G22">
            <v>3.8554186680748592</v>
          </cell>
          <cell r="H22">
            <v>5.1102917712612527E-4</v>
          </cell>
          <cell r="I22">
            <v>9.3655590594982101</v>
          </cell>
          <cell r="J22">
            <v>2.4291937830385488</v>
          </cell>
        </row>
        <row r="23">
          <cell r="E23">
            <v>87563.280043445309</v>
          </cell>
          <cell r="F23">
            <v>123732.35291317801</v>
          </cell>
          <cell r="G23">
            <v>125860.71488664526</v>
          </cell>
          <cell r="H23">
            <v>195684.54308528913</v>
          </cell>
          <cell r="I23">
            <v>269003.13096643396</v>
          </cell>
          <cell r="J23">
            <v>2.1373081442347437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69313.062408476748</v>
          </cell>
          <cell r="F25">
            <v>98788.224060772234</v>
          </cell>
          <cell r="G25">
            <v>100528.4161503479</v>
          </cell>
          <cell r="H25">
            <v>159419.88957547976</v>
          </cell>
          <cell r="I25">
            <v>218344.76719265239</v>
          </cell>
          <cell r="J25">
            <v>2.1719706283455333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69313.062408476748</v>
          </cell>
          <cell r="F28">
            <v>98788.224060772234</v>
          </cell>
          <cell r="G28">
            <v>100528.4161503479</v>
          </cell>
          <cell r="H28">
            <v>159419.88957547976</v>
          </cell>
          <cell r="I28">
            <v>218344.76719265239</v>
          </cell>
          <cell r="J28">
            <v>2.1719706283455333</v>
          </cell>
        </row>
        <row r="29">
          <cell r="E29">
            <v>18250.217634968561</v>
          </cell>
          <cell r="F29">
            <v>24944.128852405778</v>
          </cell>
          <cell r="G29">
            <v>25332.298736297351</v>
          </cell>
          <cell r="H29">
            <v>36264.653509809366</v>
          </cell>
          <cell r="I29">
            <v>50658.363773781559</v>
          </cell>
          <cell r="J29">
            <v>1.9997539228919556</v>
          </cell>
        </row>
        <row r="30">
          <cell r="E30">
            <v>217.04231122867182</v>
          </cell>
          <cell r="F30">
            <v>191.71246021160925</v>
          </cell>
          <cell r="G30">
            <v>227.98223572014058</v>
          </cell>
          <cell r="H30">
            <v>202.19246352730849</v>
          </cell>
          <cell r="I30">
            <v>204.45385204778634</v>
          </cell>
          <cell r="J30">
            <v>0.89679729388549168</v>
          </cell>
        </row>
        <row r="31">
          <cell r="E31">
            <v>209.37231122867183</v>
          </cell>
          <cell r="F31">
            <v>186.51246021160927</v>
          </cell>
          <cell r="G31">
            <v>227.98223572014058</v>
          </cell>
          <cell r="H31">
            <v>196.67321352730849</v>
          </cell>
          <cell r="I31">
            <v>198.87885204778635</v>
          </cell>
          <cell r="J31">
            <v>0.87234363422911576</v>
          </cell>
        </row>
        <row r="32">
          <cell r="E32">
            <v>209.37231122867183</v>
          </cell>
          <cell r="F32">
            <v>186.51246021160927</v>
          </cell>
          <cell r="G32">
            <v>227.98223572014058</v>
          </cell>
          <cell r="H32">
            <v>196.67321352730849</v>
          </cell>
          <cell r="I32">
            <v>198.87885204778635</v>
          </cell>
          <cell r="J32">
            <v>0.87234363422911576</v>
          </cell>
        </row>
        <row r="33">
          <cell r="E33">
            <v>73.84</v>
          </cell>
          <cell r="F33">
            <v>52.554300000000005</v>
          </cell>
          <cell r="G33">
            <v>77.436999999999998</v>
          </cell>
          <cell r="H33">
            <v>55.944899999999997</v>
          </cell>
          <cell r="I33">
            <v>56.51</v>
          </cell>
          <cell r="J33">
            <v>0.72975451011790227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42617.797052794587</v>
          </cell>
          <cell r="F39">
            <v>61454.65115421098</v>
          </cell>
          <cell r="G39">
            <v>55646.849084631875</v>
          </cell>
          <cell r="H39">
            <v>94401.69120891708</v>
          </cell>
          <cell r="I39">
            <v>127804.6216172836</v>
          </cell>
          <cell r="J39">
            <v>2.2967090449795067</v>
          </cell>
        </row>
        <row r="40">
          <cell r="E40">
            <v>66932.647839294979</v>
          </cell>
          <cell r="F40">
            <v>114602.47604207619</v>
          </cell>
          <cell r="G40">
            <v>89342.626277425064</v>
          </cell>
          <cell r="H40">
            <v>291484.03620539908</v>
          </cell>
          <cell r="I40">
            <v>226999.5898175787</v>
          </cell>
          <cell r="J40">
            <v>2.5407758790602797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76.330382781124641</v>
          </cell>
          <cell r="F46">
            <v>149.57563854879297</v>
          </cell>
          <cell r="G46">
            <v>114.45261948732481</v>
          </cell>
          <cell r="H46">
            <v>0</v>
          </cell>
          <cell r="I46">
            <v>237.75810801962365</v>
          </cell>
          <cell r="J46">
            <v>2.077349641140843</v>
          </cell>
        </row>
        <row r="47">
          <cell r="E47">
            <v>138.81096908741264</v>
          </cell>
          <cell r="F47">
            <v>163.74846899484677</v>
          </cell>
          <cell r="G47">
            <v>173.7075663112625</v>
          </cell>
          <cell r="H47">
            <v>7.4856099232881737E-2</v>
          </cell>
          <cell r="I47">
            <v>422.26631329098717</v>
          </cell>
          <cell r="J47">
            <v>2.430903398498705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41057.462962473932</v>
          </cell>
          <cell r="F66">
            <v>47330.106027491223</v>
          </cell>
          <cell r="G66">
            <v>57688.800676242216</v>
          </cell>
          <cell r="H66">
            <v>159419.88957547976</v>
          </cell>
          <cell r="I66">
            <v>103274.59807331492</v>
          </cell>
          <cell r="J66">
            <v>1.7902018565597628</v>
          </cell>
        </row>
      </sheetData>
      <sheetData sheetId="12" refreshError="1">
        <row r="8">
          <cell r="E8">
            <v>1208.0999999999999</v>
          </cell>
          <cell r="F8">
            <v>1208.58</v>
          </cell>
          <cell r="G8">
            <v>1321.55</v>
          </cell>
          <cell r="H8">
            <v>1303.26</v>
          </cell>
          <cell r="I8">
            <v>1394.4882</v>
          </cell>
        </row>
      </sheetData>
      <sheetData sheetId="13"/>
      <sheetData sheetId="14"/>
      <sheetData sheetId="15"/>
      <sheetData sheetId="16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7."/>
      <sheetName val="17 СМУП"/>
      <sheetName val="17 СЭИ"/>
      <sheetName val="1.17.1."/>
      <sheetName val="СЭИ"/>
      <sheetName val="СМУП"/>
      <sheetName val="Лист1"/>
      <sheetName val="Расчет затрат на 1 ТП- прил.1."/>
      <sheetName val="УАЗ"/>
      <sheetName val="ФОТ-необходимо заполнить"/>
      <sheetName val="НВВ план"/>
      <sheetName val="Кол-во заявок план"/>
      <sheetName val="расчет выпадающих по ТП"/>
      <sheetName val="НВВ факт"/>
      <sheetName val="Кол-во заявок факт"/>
      <sheetName val="Main"/>
      <sheetName val="Tit"/>
    </sheetNames>
    <sheetDataSet>
      <sheetData sheetId="0" refreshError="1"/>
      <sheetData sheetId="1" refreshError="1">
        <row r="9">
          <cell r="E9">
            <v>30728</v>
          </cell>
          <cell r="F9">
            <v>30728</v>
          </cell>
          <cell r="G9">
            <v>27997.18</v>
          </cell>
          <cell r="H9">
            <v>4210.2479999999996</v>
          </cell>
          <cell r="J9">
            <v>37007.379999999997</v>
          </cell>
        </row>
        <row r="10">
          <cell r="E10">
            <v>5202</v>
          </cell>
          <cell r="F10">
            <v>5202</v>
          </cell>
          <cell r="G10">
            <v>9367.882223999999</v>
          </cell>
          <cell r="H10">
            <v>3307.8580000000002</v>
          </cell>
          <cell r="J10">
            <v>9367.8799999999992</v>
          </cell>
        </row>
        <row r="11">
          <cell r="E11">
            <v>380784</v>
          </cell>
          <cell r="F11">
            <v>380784</v>
          </cell>
          <cell r="G11">
            <v>380784</v>
          </cell>
          <cell r="H11">
            <v>48300.825870000008</v>
          </cell>
          <cell r="J11">
            <v>359830.36</v>
          </cell>
        </row>
        <row r="13">
          <cell r="E13">
            <v>8888</v>
          </cell>
          <cell r="F13">
            <v>8888</v>
          </cell>
          <cell r="G13">
            <v>58811.5</v>
          </cell>
          <cell r="H13">
            <v>61.353999999999999</v>
          </cell>
          <cell r="J13">
            <v>9981.19</v>
          </cell>
        </row>
        <row r="14">
          <cell r="E14">
            <v>27123</v>
          </cell>
          <cell r="F14">
            <v>27123</v>
          </cell>
          <cell r="G14">
            <v>29835.3</v>
          </cell>
          <cell r="H14">
            <v>380.524</v>
          </cell>
          <cell r="J14">
            <v>44183.43</v>
          </cell>
        </row>
        <row r="15">
          <cell r="E15">
            <v>1528</v>
          </cell>
          <cell r="F15">
            <v>1528</v>
          </cell>
          <cell r="G15">
            <v>1680.8</v>
          </cell>
          <cell r="H15">
            <v>158.85900000000001</v>
          </cell>
          <cell r="J15">
            <v>1381.63</v>
          </cell>
        </row>
        <row r="16">
          <cell r="E16">
            <v>1999</v>
          </cell>
          <cell r="F16">
            <v>1999</v>
          </cell>
          <cell r="G16">
            <v>2198.9</v>
          </cell>
          <cell r="H16">
            <v>184.1</v>
          </cell>
          <cell r="J16">
            <v>2195.37</v>
          </cell>
        </row>
        <row r="17">
          <cell r="E17">
            <v>119076</v>
          </cell>
          <cell r="F17">
            <v>119076</v>
          </cell>
          <cell r="G17">
            <v>122185.242552</v>
          </cell>
          <cell r="H17">
            <v>19222.266</v>
          </cell>
          <cell r="J17">
            <v>129475.68</v>
          </cell>
        </row>
        <row r="18">
          <cell r="E18">
            <v>13365</v>
          </cell>
          <cell r="F18">
            <v>13365</v>
          </cell>
          <cell r="G18">
            <v>14701.5</v>
          </cell>
          <cell r="H18">
            <v>601.69600000000003</v>
          </cell>
          <cell r="J18">
            <v>5475.23</v>
          </cell>
        </row>
        <row r="19">
          <cell r="E19">
            <v>299</v>
          </cell>
          <cell r="F19">
            <v>299</v>
          </cell>
          <cell r="G19">
            <v>328.9</v>
          </cell>
          <cell r="H19">
            <v>87.626999999999995</v>
          </cell>
          <cell r="J19">
            <v>309.41000000000003</v>
          </cell>
        </row>
        <row r="20">
          <cell r="E20">
            <v>443</v>
          </cell>
          <cell r="F20">
            <v>443</v>
          </cell>
          <cell r="G20">
            <v>487.3</v>
          </cell>
          <cell r="H20">
            <v>84.313999999999993</v>
          </cell>
          <cell r="J20">
            <v>451.02</v>
          </cell>
        </row>
        <row r="26">
          <cell r="E26">
            <v>16669</v>
          </cell>
          <cell r="F26">
            <v>16669</v>
          </cell>
          <cell r="G26">
            <v>16669</v>
          </cell>
          <cell r="J26">
            <v>2297.3000000000002</v>
          </cell>
        </row>
        <row r="28">
          <cell r="E28">
            <v>0</v>
          </cell>
          <cell r="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30">
          <cell r="E30">
            <v>12</v>
          </cell>
          <cell r="F30">
            <v>12</v>
          </cell>
          <cell r="G30">
            <v>12</v>
          </cell>
        </row>
        <row r="31">
          <cell r="J31">
            <v>2086.5</v>
          </cell>
        </row>
        <row r="32">
          <cell r="E32">
            <v>3061</v>
          </cell>
          <cell r="F32">
            <v>4452</v>
          </cell>
          <cell r="G32">
            <v>4452</v>
          </cell>
          <cell r="J32">
            <v>866.7</v>
          </cell>
        </row>
        <row r="33">
          <cell r="E33">
            <v>347</v>
          </cell>
          <cell r="F33">
            <v>347</v>
          </cell>
          <cell r="G33">
            <v>347</v>
          </cell>
        </row>
        <row r="34">
          <cell r="E34">
            <v>17</v>
          </cell>
          <cell r="F34">
            <v>17</v>
          </cell>
          <cell r="G34">
            <v>17</v>
          </cell>
        </row>
        <row r="39">
          <cell r="F39">
            <v>25829</v>
          </cell>
        </row>
        <row r="40">
          <cell r="F40">
            <v>1738</v>
          </cell>
        </row>
        <row r="41">
          <cell r="F41">
            <v>349309</v>
          </cell>
        </row>
        <row r="43">
          <cell r="F43">
            <v>8826</v>
          </cell>
        </row>
        <row r="44">
          <cell r="F44">
            <v>26742</v>
          </cell>
        </row>
        <row r="45">
          <cell r="F45">
            <v>1381</v>
          </cell>
        </row>
        <row r="46">
          <cell r="F46">
            <v>1815</v>
          </cell>
        </row>
        <row r="47">
          <cell r="F47">
            <v>104994</v>
          </cell>
        </row>
        <row r="48">
          <cell r="F48">
            <v>13111</v>
          </cell>
        </row>
        <row r="49">
          <cell r="F49">
            <v>228</v>
          </cell>
        </row>
        <row r="50">
          <cell r="F50">
            <v>359</v>
          </cell>
        </row>
        <row r="54">
          <cell r="E54">
            <v>16479</v>
          </cell>
          <cell r="F54">
            <v>16479</v>
          </cell>
          <cell r="G54">
            <v>37343.9</v>
          </cell>
          <cell r="H54">
            <v>4210.2479999999996</v>
          </cell>
        </row>
        <row r="55">
          <cell r="E55">
            <v>2495</v>
          </cell>
          <cell r="F55">
            <v>2495</v>
          </cell>
          <cell r="G55">
            <v>10400</v>
          </cell>
          <cell r="H55">
            <v>3307.8580000000002</v>
          </cell>
        </row>
        <row r="56">
          <cell r="E56">
            <v>194692</v>
          </cell>
          <cell r="F56">
            <v>194692</v>
          </cell>
          <cell r="G56">
            <v>214161.2</v>
          </cell>
          <cell r="H56">
            <v>48300.825870000008</v>
          </cell>
        </row>
        <row r="58">
          <cell r="E58">
            <v>2331</v>
          </cell>
          <cell r="F58">
            <v>2331</v>
          </cell>
          <cell r="G58">
            <v>2001.7</v>
          </cell>
          <cell r="H58">
            <v>61.353999999999999</v>
          </cell>
        </row>
        <row r="59">
          <cell r="E59">
            <v>3763</v>
          </cell>
          <cell r="F59">
            <v>3763</v>
          </cell>
          <cell r="G59">
            <v>30688.3</v>
          </cell>
          <cell r="H59">
            <v>380.524</v>
          </cell>
        </row>
        <row r="60">
          <cell r="E60">
            <v>519</v>
          </cell>
          <cell r="F60">
            <v>519</v>
          </cell>
          <cell r="G60">
            <v>570.9</v>
          </cell>
          <cell r="H60">
            <v>158.85900000000001</v>
          </cell>
        </row>
        <row r="61">
          <cell r="E61">
            <v>719</v>
          </cell>
          <cell r="F61">
            <v>719</v>
          </cell>
          <cell r="G61">
            <v>790.9</v>
          </cell>
          <cell r="H61">
            <v>184.1</v>
          </cell>
        </row>
        <row r="62">
          <cell r="E62">
            <v>40186</v>
          </cell>
          <cell r="F62">
            <v>40186</v>
          </cell>
          <cell r="G62">
            <v>205506.7</v>
          </cell>
          <cell r="H62">
            <v>19222.266</v>
          </cell>
        </row>
        <row r="63">
          <cell r="E63">
            <v>2419</v>
          </cell>
          <cell r="F63">
            <v>2419</v>
          </cell>
          <cell r="G63">
            <v>2660.9</v>
          </cell>
          <cell r="H63">
            <v>601.69600000000003</v>
          </cell>
        </row>
        <row r="64">
          <cell r="E64">
            <v>52</v>
          </cell>
          <cell r="F64">
            <v>52</v>
          </cell>
          <cell r="G64">
            <v>57.2</v>
          </cell>
          <cell r="H64">
            <v>87.626999999999995</v>
          </cell>
        </row>
        <row r="65">
          <cell r="E65">
            <v>242</v>
          </cell>
          <cell r="F65">
            <v>242</v>
          </cell>
          <cell r="G65">
            <v>266.2</v>
          </cell>
          <cell r="H65">
            <v>84.313999999999993</v>
          </cell>
        </row>
        <row r="69">
          <cell r="E69">
            <v>1.73</v>
          </cell>
          <cell r="F69">
            <v>1.73</v>
          </cell>
          <cell r="G69">
            <v>1.5543412672332899</v>
          </cell>
          <cell r="H69">
            <v>1.5543412672332899</v>
          </cell>
          <cell r="I69">
            <v>1.55</v>
          </cell>
          <cell r="J69">
            <v>1.55</v>
          </cell>
          <cell r="K69">
            <v>1.55</v>
          </cell>
          <cell r="L69">
            <v>1.55</v>
          </cell>
          <cell r="M69">
            <v>1.55</v>
          </cell>
        </row>
        <row r="70">
          <cell r="E70">
            <v>1.1499999999999999</v>
          </cell>
          <cell r="F70">
            <v>1.1299999999999999</v>
          </cell>
          <cell r="G70">
            <v>0.92850720074039461</v>
          </cell>
          <cell r="H70">
            <v>0.92850720074039461</v>
          </cell>
          <cell r="I70">
            <v>0.92850720074039461</v>
          </cell>
          <cell r="J70">
            <v>0.92850720074039461</v>
          </cell>
          <cell r="K70">
            <v>0.92850720074039461</v>
          </cell>
          <cell r="L70">
            <v>0.92850720074039461</v>
          </cell>
          <cell r="M70">
            <v>0.92850720074039461</v>
          </cell>
        </row>
        <row r="71">
          <cell r="E71">
            <v>4.7</v>
          </cell>
          <cell r="F71">
            <v>4.7</v>
          </cell>
          <cell r="G71">
            <v>4.7</v>
          </cell>
          <cell r="H71">
            <v>2.7490000000000001</v>
          </cell>
          <cell r="I71">
            <v>4.4000000000000004</v>
          </cell>
          <cell r="J71">
            <v>4.4000000000000004</v>
          </cell>
          <cell r="K71">
            <v>4.4000000000000004</v>
          </cell>
          <cell r="L71">
            <v>4.4000000000000004</v>
          </cell>
          <cell r="M71">
            <v>4.4000000000000004</v>
          </cell>
        </row>
        <row r="72">
          <cell r="E72">
            <v>8.24</v>
          </cell>
          <cell r="F72">
            <v>10.6</v>
          </cell>
          <cell r="G72">
            <v>1.9</v>
          </cell>
          <cell r="H72">
            <v>0.75</v>
          </cell>
          <cell r="I72">
            <v>0.2</v>
          </cell>
          <cell r="J72">
            <v>0.2</v>
          </cell>
          <cell r="K72">
            <v>0.2</v>
          </cell>
          <cell r="L72">
            <v>0.2</v>
          </cell>
          <cell r="M72">
            <v>0.2</v>
          </cell>
        </row>
        <row r="73">
          <cell r="E73">
            <v>17.29</v>
          </cell>
          <cell r="F73">
            <v>17.2</v>
          </cell>
          <cell r="G73">
            <v>8.4383888448943036</v>
          </cell>
          <cell r="H73">
            <v>8.4383888448943036</v>
          </cell>
          <cell r="I73">
            <v>8.4383888448943036</v>
          </cell>
          <cell r="J73">
            <v>8.4383888448943036</v>
          </cell>
          <cell r="K73">
            <v>8.4383888448943036</v>
          </cell>
          <cell r="L73">
            <v>8.4383888448943036</v>
          </cell>
          <cell r="M73">
            <v>8.4383888448943036</v>
          </cell>
        </row>
        <row r="74">
          <cell r="E74">
            <v>22.88</v>
          </cell>
          <cell r="F74">
            <v>22.88</v>
          </cell>
          <cell r="G74">
            <v>9.0567699201785992</v>
          </cell>
          <cell r="H74">
            <v>9.0567699201785992</v>
          </cell>
          <cell r="I74">
            <v>9.0567699201785992</v>
          </cell>
          <cell r="J74">
            <v>9.0567699201785992</v>
          </cell>
          <cell r="K74">
            <v>9.0567699201785992</v>
          </cell>
          <cell r="L74">
            <v>9.0567699201785992</v>
          </cell>
          <cell r="M74">
            <v>9.0567699201785992</v>
          </cell>
        </row>
        <row r="75">
          <cell r="E75">
            <v>21.96</v>
          </cell>
          <cell r="F75">
            <v>21.96</v>
          </cell>
          <cell r="G75">
            <v>11.468703314857429</v>
          </cell>
          <cell r="H75">
            <v>11.468703314857429</v>
          </cell>
          <cell r="I75">
            <v>11.468703314857429</v>
          </cell>
          <cell r="J75">
            <v>11.468703314857429</v>
          </cell>
          <cell r="K75">
            <v>11.468703314857429</v>
          </cell>
          <cell r="L75">
            <v>11.468703314857429</v>
          </cell>
          <cell r="M75">
            <v>11.468703314857429</v>
          </cell>
        </row>
        <row r="76">
          <cell r="E76">
            <v>47.71</v>
          </cell>
          <cell r="F76">
            <v>47.71</v>
          </cell>
          <cell r="G76">
            <v>18.566675786407121</v>
          </cell>
          <cell r="H76">
            <v>18.566675786407121</v>
          </cell>
          <cell r="I76">
            <v>18.566675786407121</v>
          </cell>
          <cell r="J76">
            <v>18.566675786407121</v>
          </cell>
          <cell r="K76">
            <v>18.566675786407121</v>
          </cell>
          <cell r="L76">
            <v>18.566675786407121</v>
          </cell>
          <cell r="M76">
            <v>18.566675786407121</v>
          </cell>
        </row>
        <row r="77">
          <cell r="E77">
            <v>8.26</v>
          </cell>
          <cell r="F77">
            <v>8.26</v>
          </cell>
          <cell r="G77">
            <v>2.8237898534648487</v>
          </cell>
          <cell r="H77">
            <v>2.8237898534648487</v>
          </cell>
          <cell r="I77">
            <v>2.8237898534648487</v>
          </cell>
          <cell r="J77">
            <v>2.8237898534648487</v>
          </cell>
          <cell r="K77">
            <v>2.8237898534648487</v>
          </cell>
          <cell r="L77">
            <v>2.8237898534648487</v>
          </cell>
          <cell r="M77">
            <v>2.8237898534648487</v>
          </cell>
        </row>
        <row r="78">
          <cell r="E78">
            <v>32</v>
          </cell>
          <cell r="F78">
            <v>32</v>
          </cell>
          <cell r="G78">
            <v>8.8405907785473712</v>
          </cell>
          <cell r="H78">
            <v>2.1</v>
          </cell>
          <cell r="I78">
            <v>8.8405907785473712</v>
          </cell>
          <cell r="J78">
            <v>8.8405907785473712</v>
          </cell>
          <cell r="K78">
            <v>8.8405907785473712</v>
          </cell>
          <cell r="L78">
            <v>8.8405907785473712</v>
          </cell>
          <cell r="M78">
            <v>8.8405907785473712</v>
          </cell>
        </row>
        <row r="79">
          <cell r="E79">
            <v>85</v>
          </cell>
          <cell r="F79">
            <v>85</v>
          </cell>
          <cell r="G79">
            <v>12.219676493091757</v>
          </cell>
          <cell r="H79">
            <v>11.558999999999999</v>
          </cell>
          <cell r="I79">
            <v>12.219676493091757</v>
          </cell>
          <cell r="J79">
            <v>12.219676493091757</v>
          </cell>
          <cell r="K79">
            <v>12.219676493091757</v>
          </cell>
          <cell r="L79">
            <v>12.219676493091757</v>
          </cell>
          <cell r="M79">
            <v>12.219676493091757</v>
          </cell>
        </row>
        <row r="80">
          <cell r="E80">
            <v>17.36</v>
          </cell>
          <cell r="F80">
            <v>17.36</v>
          </cell>
          <cell r="G80">
            <v>5.4243362920991869</v>
          </cell>
          <cell r="H80">
            <v>5.4243362920991869</v>
          </cell>
          <cell r="I80">
            <v>5.4243362920991869</v>
          </cell>
          <cell r="J80">
            <v>5.4243362920991869</v>
          </cell>
          <cell r="K80">
            <v>5.4243362920991869</v>
          </cell>
          <cell r="L80">
            <v>5.4243362920991869</v>
          </cell>
          <cell r="M80">
            <v>5.4243362920991869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9">
          <cell r="E9">
            <v>30728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анализ роста"/>
      <sheetName val="титул"/>
      <sheetName val="1.2.2.И"/>
      <sheetName val="1.3.И"/>
      <sheetName val="1.4."/>
      <sheetName val="1.5.И"/>
      <sheetName val="1.6.И"/>
      <sheetName val="1.12.а"/>
      <sheetName val="1.12.И"/>
      <sheetName val="1.13.И"/>
      <sheetName val="1.15."/>
      <sheetName val="анализ роста к факту И"/>
      <sheetName val="прочие"/>
      <sheetName val="1.18.2."/>
      <sheetName val="1.16."/>
      <sheetName val="1.16. жкх"/>
      <sheetName val="1.17."/>
      <sheetName val="1.17.1."/>
      <sheetName val="1.17.2."/>
      <sheetName val="1.20."/>
      <sheetName val="1.20.3"/>
      <sheetName val="1.21.3"/>
      <sheetName val="1.24."/>
      <sheetName val="1.25."/>
      <sheetName val="1.27."/>
      <sheetName val="Таб П2.1И"/>
      <sheetName val="ТабП.2.2И"/>
      <sheetName val="расчет"/>
      <sheetName val="расчет аморт"/>
      <sheetName val="тбо 2006И"/>
      <sheetName val="тепло 2006И"/>
      <sheetName val="вода 2006И"/>
      <sheetName val="мусор"/>
      <sheetName val="вода"/>
      <sheetName val="дезин"/>
      <sheetName val="9.8.6."/>
      <sheetName val="9.8.1."/>
      <sheetName val="9.8.23"/>
      <sheetName val="9.2."/>
      <sheetName val="несчас"/>
      <sheetName val="опасные"/>
      <sheetName val="автограж"/>
      <sheetName val="9.7.4."/>
      <sheetName val="9.6."/>
      <sheetName val="ЕСН"/>
      <sheetName val="ЕСНа"/>
      <sheetName val="9.8.2.а"/>
      <sheetName val="9.8.2."/>
      <sheetName val="9.8.3.-9.8.5."/>
      <sheetName val="сбор выр"/>
      <sheetName val="9.8.7."/>
      <sheetName val="9.8.8."/>
      <sheetName val="9.8.9."/>
      <sheetName val="9.8.10."/>
      <sheetName val="9.8.10.а"/>
      <sheetName val="9.8.12."/>
      <sheetName val="9.8.13."/>
      <sheetName val="9.3."/>
      <sheetName val="9.8.14. 9.8.15"/>
      <sheetName val="9.8.16"/>
      <sheetName val="9.8.17"/>
      <sheetName val="9.8.18"/>
      <sheetName val="9.8.19  9.8.20"/>
      <sheetName val="расчет конвертов"/>
      <sheetName val="9.8.21."/>
      <sheetName val="9.8.22"/>
      <sheetName val="9.8.23."/>
      <sheetName val="9.8.24."/>
      <sheetName val="9.8.25."/>
      <sheetName val="9.8.26."/>
      <sheetName val="9.8.27.  9.8.28."/>
      <sheetName val="услуги пр хар"/>
      <sheetName val="факт 2004"/>
      <sheetName val="расчет числ по ЖКХ"/>
      <sheetName val="приб на соц разв по ЖКХ"/>
      <sheetName val="выпадающие по 2006 (3)"/>
      <sheetName val="выпадающие по 2006"/>
      <sheetName val="выпдающ 05-06"/>
      <sheetName val="выпадающ 2004"/>
      <sheetName val="выпадающ 2005"/>
      <sheetName val="анализ роста к факту И (2)"/>
      <sheetName val="17_1"/>
      <sheetName val="18_2"/>
      <sheetName val="21_3"/>
      <sheetName val="P2_1"/>
      <sheetName val="2_3"/>
      <sheetName val="Main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H12">
            <v>871.4</v>
          </cell>
          <cell r="M12">
            <v>858.17440000000011</v>
          </cell>
          <cell r="R12">
            <v>855.42</v>
          </cell>
          <cell r="W12">
            <v>947.59500000000014</v>
          </cell>
          <cell r="AB12">
            <v>966.53800000000001</v>
          </cell>
        </row>
        <row r="13">
          <cell r="I13">
            <v>871.25</v>
          </cell>
          <cell r="N13">
            <v>858.17440000000011</v>
          </cell>
          <cell r="S13">
            <v>855.42</v>
          </cell>
          <cell r="X13">
            <v>947.59400000000016</v>
          </cell>
          <cell r="AC13">
            <v>966.53700000000003</v>
          </cell>
        </row>
        <row r="14">
          <cell r="J14">
            <v>491.00635951974255</v>
          </cell>
          <cell r="O14">
            <v>490.52540000000016</v>
          </cell>
          <cell r="T14">
            <v>476.67999999999995</v>
          </cell>
          <cell r="Y14">
            <v>517.20900000000006</v>
          </cell>
          <cell r="AD14">
            <v>434.26902109198323</v>
          </cell>
        </row>
        <row r="17">
          <cell r="G17">
            <v>921.1</v>
          </cell>
          <cell r="L17">
            <v>899.5856</v>
          </cell>
          <cell r="Q17">
            <v>901.4</v>
          </cell>
          <cell r="V17">
            <v>982.74400000000014</v>
          </cell>
          <cell r="AA17">
            <v>1002.5</v>
          </cell>
        </row>
        <row r="20">
          <cell r="J20">
            <v>2</v>
          </cell>
          <cell r="O20">
            <v>1.3494999999999999</v>
          </cell>
          <cell r="T20">
            <v>1.17</v>
          </cell>
          <cell r="Y20">
            <v>1.246</v>
          </cell>
          <cell r="AD20">
            <v>1.329</v>
          </cell>
        </row>
        <row r="22">
          <cell r="G22">
            <v>49.7</v>
          </cell>
          <cell r="H22">
            <v>0.15</v>
          </cell>
          <cell r="I22">
            <v>336.5</v>
          </cell>
          <cell r="J22">
            <v>427.65</v>
          </cell>
          <cell r="L22">
            <v>39.611199999999997</v>
          </cell>
          <cell r="M22">
            <v>0</v>
          </cell>
          <cell r="N22">
            <v>324.04899999999992</v>
          </cell>
          <cell r="O22">
            <v>426.47199999999998</v>
          </cell>
          <cell r="Q22">
            <v>45.98</v>
          </cell>
          <cell r="R22">
            <v>0</v>
          </cell>
          <cell r="S22">
            <v>355.74</v>
          </cell>
          <cell r="T22">
            <v>428.08</v>
          </cell>
          <cell r="V22">
            <v>35.149000000000001</v>
          </cell>
          <cell r="W22">
            <v>1E-3</v>
          </cell>
          <cell r="X22">
            <v>380.02500000000009</v>
          </cell>
          <cell r="Y22">
            <v>444.62300000000005</v>
          </cell>
          <cell r="AA22">
            <v>35.962000000000003</v>
          </cell>
          <cell r="AB22">
            <v>1E-3</v>
          </cell>
          <cell r="AC22">
            <v>483.97700000000003</v>
          </cell>
          <cell r="AD22">
            <v>364.54100000000005</v>
          </cell>
        </row>
      </sheetData>
      <sheetData sheetId="5" refreshError="1"/>
      <sheetData sheetId="6" refreshError="1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H21">
            <v>241.5</v>
          </cell>
          <cell r="N21">
            <v>34.9</v>
          </cell>
        </row>
        <row r="22">
          <cell r="E22">
            <v>49.7</v>
          </cell>
          <cell r="F22">
            <v>0.15</v>
          </cell>
          <cell r="G22">
            <v>336.5</v>
          </cell>
          <cell r="H22">
            <v>186.14999999999998</v>
          </cell>
          <cell r="K22">
            <v>9.3000000000000007</v>
          </cell>
          <cell r="M22">
            <v>50.2</v>
          </cell>
          <cell r="N22">
            <v>35.18</v>
          </cell>
        </row>
        <row r="23">
          <cell r="G23">
            <v>15.6</v>
          </cell>
          <cell r="H23">
            <v>61.9</v>
          </cell>
          <cell r="M23">
            <v>2</v>
          </cell>
          <cell r="N23">
            <v>10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39">
          <cell r="H39">
            <v>233.93</v>
          </cell>
          <cell r="N39">
            <v>34.380000000000003</v>
          </cell>
        </row>
        <row r="40">
          <cell r="E40">
            <v>45.98</v>
          </cell>
          <cell r="G40">
            <v>355.74</v>
          </cell>
          <cell r="H40">
            <v>194.14999999999998</v>
          </cell>
          <cell r="K40">
            <v>7.67</v>
          </cell>
          <cell r="M40">
            <v>55.25</v>
          </cell>
          <cell r="N40">
            <v>39.46</v>
          </cell>
        </row>
        <row r="41">
          <cell r="G41">
            <v>13.13</v>
          </cell>
          <cell r="H41">
            <v>62.39</v>
          </cell>
          <cell r="M41">
            <v>2.72</v>
          </cell>
          <cell r="N41">
            <v>12.94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282.38900000000001</v>
          </cell>
          <cell r="K57">
            <v>0</v>
          </cell>
          <cell r="L57">
            <v>0</v>
          </cell>
          <cell r="M57">
            <v>0</v>
          </cell>
          <cell r="N57">
            <v>43.769999999999996</v>
          </cell>
        </row>
        <row r="58">
          <cell r="E58">
            <v>35.962000000000003</v>
          </cell>
          <cell r="F58">
            <v>1E-3</v>
          </cell>
          <cell r="G58">
            <v>483.97700000000003</v>
          </cell>
          <cell r="H58">
            <v>82.152000000000044</v>
          </cell>
          <cell r="K58">
            <v>5.5750000000000002</v>
          </cell>
          <cell r="L58">
            <v>0</v>
          </cell>
          <cell r="M58">
            <v>75.03</v>
          </cell>
          <cell r="N58">
            <v>12.740000000000009</v>
          </cell>
        </row>
        <row r="59">
          <cell r="E59">
            <v>0</v>
          </cell>
          <cell r="F59">
            <v>0</v>
          </cell>
          <cell r="G59">
            <v>66.171999999999997</v>
          </cell>
          <cell r="H59">
            <v>11.417999999999999</v>
          </cell>
          <cell r="K59">
            <v>0</v>
          </cell>
          <cell r="L59">
            <v>0</v>
          </cell>
          <cell r="M59">
            <v>11.84</v>
          </cell>
          <cell r="N59">
            <v>1.7629999999999999</v>
          </cell>
        </row>
      </sheetData>
      <sheetData sheetId="7" refreshError="1">
        <row r="10">
          <cell r="E10">
            <v>10122</v>
          </cell>
          <cell r="F10">
            <v>20143</v>
          </cell>
          <cell r="G10">
            <v>16462</v>
          </cell>
          <cell r="H10">
            <v>24806</v>
          </cell>
          <cell r="I10">
            <v>24253.091516899996</v>
          </cell>
        </row>
        <row r="11">
          <cell r="H11">
            <v>17364.199999999997</v>
          </cell>
          <cell r="I11">
            <v>16977.164061829997</v>
          </cell>
        </row>
        <row r="12">
          <cell r="E12">
            <v>2820</v>
          </cell>
          <cell r="F12">
            <v>11126.392334408334</v>
          </cell>
          <cell r="G12">
            <v>6066</v>
          </cell>
          <cell r="H12">
            <v>7326.5</v>
          </cell>
          <cell r="I12">
            <v>10804.3</v>
          </cell>
        </row>
        <row r="13">
          <cell r="H13">
            <v>5128.5499999999993</v>
          </cell>
          <cell r="I13">
            <v>7563.0099999999993</v>
          </cell>
        </row>
        <row r="14">
          <cell r="E14">
            <v>4813</v>
          </cell>
          <cell r="F14">
            <v>5708.9213709677415</v>
          </cell>
          <cell r="G14">
            <v>5625</v>
          </cell>
          <cell r="H14">
            <v>6782.7070000000003</v>
          </cell>
          <cell r="I14">
            <v>7257.4970000000003</v>
          </cell>
        </row>
        <row r="15">
          <cell r="E15">
            <v>970692</v>
          </cell>
          <cell r="F15">
            <v>948021</v>
          </cell>
          <cell r="G15">
            <v>1144968.29874</v>
          </cell>
          <cell r="H15">
            <v>1280770.9454400002</v>
          </cell>
          <cell r="I15">
            <v>1397974.4205</v>
          </cell>
        </row>
        <row r="16">
          <cell r="E16">
            <v>-1136988.0000000005</v>
          </cell>
          <cell r="F16">
            <v>-473609.16000000015</v>
          </cell>
          <cell r="G16">
            <v>1143561.17484</v>
          </cell>
          <cell r="H16">
            <v>1279147.0834800003</v>
          </cell>
          <cell r="I16">
            <v>1396121.1456822001</v>
          </cell>
        </row>
        <row r="17">
          <cell r="E17">
            <v>2107680.0000000005</v>
          </cell>
          <cell r="F17">
            <v>1421630.1600000001</v>
          </cell>
          <cell r="G17">
            <v>1407.1238999999998</v>
          </cell>
          <cell r="H17">
            <v>1623.86196</v>
          </cell>
          <cell r="I17">
            <v>1853.2748177999999</v>
          </cell>
        </row>
        <row r="20">
          <cell r="E20">
            <v>10119</v>
          </cell>
          <cell r="F20">
            <v>11740.843152330885</v>
          </cell>
          <cell r="G20">
            <v>11888</v>
          </cell>
          <cell r="H20">
            <v>14771.53</v>
          </cell>
          <cell r="I20">
            <v>18032.37135466667</v>
          </cell>
        </row>
        <row r="25">
          <cell r="I25">
            <v>0</v>
          </cell>
        </row>
        <row r="26">
          <cell r="E26">
            <v>890</v>
          </cell>
          <cell r="F26">
            <v>4396</v>
          </cell>
          <cell r="G26">
            <v>529</v>
          </cell>
          <cell r="H26">
            <v>3707.4511299999999</v>
          </cell>
          <cell r="I26">
            <v>3710.0727090999999</v>
          </cell>
        </row>
        <row r="27">
          <cell r="E27">
            <v>135</v>
          </cell>
          <cell r="F27">
            <v>19</v>
          </cell>
          <cell r="G27">
            <v>37</v>
          </cell>
          <cell r="H27">
            <v>39.9303375</v>
          </cell>
          <cell r="I27">
            <v>0</v>
          </cell>
        </row>
        <row r="31">
          <cell r="E31">
            <v>1285</v>
          </cell>
          <cell r="F31">
            <v>1508</v>
          </cell>
          <cell r="G31">
            <v>1234</v>
          </cell>
          <cell r="H31">
            <v>13.909000000000001</v>
          </cell>
          <cell r="I31">
            <v>14.882630000000001</v>
          </cell>
        </row>
        <row r="32">
          <cell r="E32">
            <v>1150</v>
          </cell>
          <cell r="F32">
            <v>1346</v>
          </cell>
          <cell r="G32">
            <v>1175</v>
          </cell>
          <cell r="H32">
            <v>0</v>
          </cell>
          <cell r="I32">
            <v>0</v>
          </cell>
        </row>
        <row r="33">
          <cell r="E33">
            <v>135</v>
          </cell>
          <cell r="F33">
            <v>162</v>
          </cell>
          <cell r="G33">
            <v>59</v>
          </cell>
          <cell r="H33">
            <v>13.909000000000001</v>
          </cell>
          <cell r="I33">
            <v>14.882630000000001</v>
          </cell>
        </row>
        <row r="34">
          <cell r="E34">
            <v>49302.21</v>
          </cell>
          <cell r="F34">
            <v>20835.03</v>
          </cell>
          <cell r="G34">
            <v>14902.366271008925</v>
          </cell>
          <cell r="H34" t="e">
            <v>#REF!</v>
          </cell>
          <cell r="I34" t="e">
            <v>#REF!</v>
          </cell>
        </row>
        <row r="36">
          <cell r="B36" t="str">
            <v>Арендная плата</v>
          </cell>
        </row>
        <row r="37">
          <cell r="B37" t="str">
            <v>Прочие другие затраты</v>
          </cell>
        </row>
        <row r="38">
          <cell r="B38" t="str">
            <v>Услуги банка</v>
          </cell>
          <cell r="E38">
            <v>135</v>
          </cell>
          <cell r="F38">
            <v>445</v>
          </cell>
          <cell r="G38">
            <v>100</v>
          </cell>
          <cell r="H38">
            <v>385.39795000000004</v>
          </cell>
          <cell r="I38">
            <v>385.39795000000004</v>
          </cell>
        </row>
        <row r="39">
          <cell r="B39" t="str">
            <v>Услуги связи</v>
          </cell>
          <cell r="E39">
            <v>844</v>
          </cell>
          <cell r="F39">
            <v>1225</v>
          </cell>
          <cell r="G39">
            <v>1038</v>
          </cell>
          <cell r="H39">
            <v>1332.6775</v>
          </cell>
          <cell r="I39">
            <v>1839.9010000000001</v>
          </cell>
        </row>
        <row r="40">
          <cell r="B40" t="str">
            <v>Командирововчные расходы</v>
          </cell>
          <cell r="E40">
            <v>230</v>
          </cell>
          <cell r="F40">
            <v>385</v>
          </cell>
          <cell r="G40">
            <v>230</v>
          </cell>
          <cell r="H40">
            <v>950</v>
          </cell>
          <cell r="I40">
            <v>1780.932182</v>
          </cell>
        </row>
        <row r="41">
          <cell r="B41" t="str">
            <v>Расходы на обучение</v>
          </cell>
          <cell r="E41">
            <v>206</v>
          </cell>
          <cell r="F41">
            <v>75</v>
          </cell>
          <cell r="G41">
            <v>226</v>
          </cell>
          <cell r="H41">
            <v>296.7</v>
          </cell>
          <cell r="I41">
            <v>341.76525423728816</v>
          </cell>
        </row>
        <row r="42">
          <cell r="B42" t="str">
            <v>Охрана труда</v>
          </cell>
          <cell r="G42">
            <v>94</v>
          </cell>
          <cell r="H42">
            <v>98</v>
          </cell>
          <cell r="I42">
            <v>1233.3322000000001</v>
          </cell>
        </row>
        <row r="43">
          <cell r="B43" t="str">
            <v>Канцелярские расходы</v>
          </cell>
          <cell r="F43">
            <v>341</v>
          </cell>
          <cell r="G43">
            <v>184</v>
          </cell>
          <cell r="H43">
            <v>441.3</v>
          </cell>
          <cell r="I43">
            <v>961.8</v>
          </cell>
        </row>
        <row r="44">
          <cell r="B44" t="str">
            <v>Коммунальные услуги</v>
          </cell>
          <cell r="E44">
            <v>744</v>
          </cell>
          <cell r="F44">
            <v>1344</v>
          </cell>
          <cell r="G44">
            <v>1022</v>
          </cell>
          <cell r="H44">
            <v>1534.2105381220663</v>
          </cell>
          <cell r="I44">
            <v>1633.9342231000005</v>
          </cell>
        </row>
        <row r="45">
          <cell r="B45" t="str">
            <v>Вневедомственная охрана</v>
          </cell>
          <cell r="F45">
            <v>1393</v>
          </cell>
          <cell r="G45">
            <v>984</v>
          </cell>
          <cell r="H45">
            <v>1251.7996116015133</v>
          </cell>
          <cell r="I45">
            <v>1985.3541840000003</v>
          </cell>
        </row>
        <row r="46">
          <cell r="B46" t="str">
            <v>Аттестация рабочих мест</v>
          </cell>
          <cell r="G46">
            <v>312</v>
          </cell>
          <cell r="H46">
            <v>312</v>
          </cell>
          <cell r="I46">
            <v>0</v>
          </cell>
        </row>
        <row r="47">
          <cell r="B47" t="str">
            <v>Аудиторские услуги</v>
          </cell>
          <cell r="F47">
            <v>3525.4</v>
          </cell>
          <cell r="G47">
            <v>200</v>
          </cell>
          <cell r="H47">
            <v>6500</v>
          </cell>
          <cell r="I47">
            <v>1627.8961780575</v>
          </cell>
        </row>
        <row r="48">
          <cell r="B48" t="str">
            <v>Дебитрская задолженность</v>
          </cell>
          <cell r="G48">
            <v>46.2</v>
          </cell>
          <cell r="H48" t="e">
            <v>#REF!</v>
          </cell>
          <cell r="I48" t="e">
            <v>#REF!</v>
          </cell>
        </row>
        <row r="49">
          <cell r="B49" t="str">
            <v>Создание резерва по сомнительным долгам</v>
          </cell>
          <cell r="G49">
            <v>3126.6</v>
          </cell>
          <cell r="H49">
            <v>0</v>
          </cell>
          <cell r="I49">
            <v>0</v>
          </cell>
        </row>
        <row r="50">
          <cell r="B50" t="str">
            <v xml:space="preserve">прочие затраты  </v>
          </cell>
          <cell r="E50">
            <v>9883.73</v>
          </cell>
          <cell r="F50">
            <v>9929.6299999999992</v>
          </cell>
          <cell r="G50">
            <v>7339.5662710089255</v>
          </cell>
          <cell r="H50" t="e">
            <v>#REF!</v>
          </cell>
          <cell r="I50" t="e">
            <v>#REF!</v>
          </cell>
        </row>
        <row r="51">
          <cell r="B51" t="str">
            <v>Создание аварийного запаса</v>
          </cell>
          <cell r="G51">
            <v>0</v>
          </cell>
          <cell r="H51">
            <v>0</v>
          </cell>
          <cell r="I51" t="e">
            <v>#REF!</v>
          </cell>
        </row>
        <row r="52">
          <cell r="B52" t="str">
            <v>Экономические обоснгванные расходы неучтеные в тарифах предыдущих периодах регулирования</v>
          </cell>
          <cell r="G52">
            <v>0</v>
          </cell>
          <cell r="H52">
            <v>0</v>
          </cell>
          <cell r="I52" t="e">
            <v>#REF!</v>
          </cell>
        </row>
        <row r="53">
          <cell r="B53" t="str">
            <v>Переоценка ОПФ</v>
          </cell>
          <cell r="G53">
            <v>0</v>
          </cell>
          <cell r="H53">
            <v>0</v>
          </cell>
          <cell r="I53">
            <v>402.58749999999998</v>
          </cell>
        </row>
        <row r="54">
          <cell r="B54" t="str">
            <v>Поверка и ремонт счетчиков</v>
          </cell>
          <cell r="E54">
            <v>3097.7</v>
          </cell>
          <cell r="F54">
            <v>882</v>
          </cell>
        </row>
        <row r="55">
          <cell r="B55" t="str">
            <v>Оформление кадастровых дел по земельным участкам</v>
          </cell>
          <cell r="E55">
            <v>2521</v>
          </cell>
        </row>
        <row r="56">
          <cell r="B56" t="str">
            <v>Консультационные услуги</v>
          </cell>
          <cell r="F56">
            <v>1268</v>
          </cell>
          <cell r="G56">
            <v>0</v>
          </cell>
          <cell r="H56">
            <v>1600</v>
          </cell>
          <cell r="I56">
            <v>3092.453</v>
          </cell>
        </row>
        <row r="57">
          <cell r="B57" t="str">
            <v>Информационно-програмные услуги</v>
          </cell>
          <cell r="G57">
            <v>0</v>
          </cell>
          <cell r="H57">
            <v>450</v>
          </cell>
          <cell r="I57">
            <v>923.99582500000008</v>
          </cell>
        </row>
        <row r="58">
          <cell r="B58" t="str">
            <v>Литература, тех. документация</v>
          </cell>
          <cell r="F58">
            <v>22</v>
          </cell>
          <cell r="G58">
            <v>0</v>
          </cell>
          <cell r="H58">
            <v>25</v>
          </cell>
          <cell r="I58">
            <v>19.584852000000005</v>
          </cell>
        </row>
        <row r="59">
          <cell r="B59" t="str">
            <v>выполнение предписаний энергонадзора</v>
          </cell>
          <cell r="E59">
            <v>31640.78</v>
          </cell>
        </row>
        <row r="60">
          <cell r="B60" t="str">
            <v>налог на имущество</v>
          </cell>
          <cell r="H60">
            <v>194.20170000000005</v>
          </cell>
          <cell r="I60">
            <v>207.3</v>
          </cell>
        </row>
        <row r="64">
          <cell r="G64">
            <v>45.64</v>
          </cell>
          <cell r="I64">
            <v>153350</v>
          </cell>
        </row>
        <row r="65">
          <cell r="E65">
            <v>23156</v>
          </cell>
          <cell r="G65">
            <v>23000</v>
          </cell>
          <cell r="I65">
            <v>0</v>
          </cell>
        </row>
      </sheetData>
      <sheetData sheetId="8" refreshError="1">
        <row r="7">
          <cell r="G7">
            <v>407</v>
          </cell>
          <cell r="H7">
            <v>445</v>
          </cell>
          <cell r="I7">
            <v>407</v>
          </cell>
          <cell r="J7">
            <v>485</v>
          </cell>
          <cell r="K7">
            <v>450.12977775114058</v>
          </cell>
        </row>
        <row r="8">
          <cell r="G8">
            <v>407</v>
          </cell>
          <cell r="H8">
            <v>445</v>
          </cell>
          <cell r="I8">
            <v>407</v>
          </cell>
          <cell r="J8">
            <v>485</v>
          </cell>
          <cell r="K8">
            <v>450.12977775114058</v>
          </cell>
        </row>
        <row r="10">
          <cell r="G10">
            <v>2604</v>
          </cell>
          <cell r="H10">
            <v>2604</v>
          </cell>
          <cell r="I10">
            <v>2890</v>
          </cell>
          <cell r="J10">
            <v>3160</v>
          </cell>
          <cell r="K10">
            <v>3570</v>
          </cell>
        </row>
        <row r="11">
          <cell r="G11">
            <v>1.085</v>
          </cell>
          <cell r="H11">
            <v>1.0620000000000001</v>
          </cell>
          <cell r="I11">
            <v>1.085</v>
          </cell>
          <cell r="J11">
            <v>1.0396000000000001</v>
          </cell>
          <cell r="K11">
            <v>1.0316677534735161</v>
          </cell>
        </row>
        <row r="12">
          <cell r="G12">
            <v>2825.3399999999997</v>
          </cell>
          <cell r="H12">
            <v>2765.4480000000003</v>
          </cell>
          <cell r="I12">
            <v>3135.65</v>
          </cell>
          <cell r="J12">
            <v>3285.1360000000004</v>
          </cell>
          <cell r="K12">
            <v>3683.0538799004526</v>
          </cell>
        </row>
        <row r="13">
          <cell r="G13">
            <v>4.93</v>
          </cell>
          <cell r="H13">
            <v>5.1269999999999998</v>
          </cell>
          <cell r="I13">
            <v>4.9000000000000004</v>
          </cell>
          <cell r="J13">
            <v>5.25</v>
          </cell>
          <cell r="K13">
            <v>5.1580775583560179</v>
          </cell>
        </row>
        <row r="14">
          <cell r="G14">
            <v>1.5598118000000001</v>
          </cell>
          <cell r="H14">
            <v>1.6105084999999999</v>
          </cell>
          <cell r="I14">
            <v>1.5461704000000001</v>
          </cell>
          <cell r="J14">
            <v>1.62</v>
          </cell>
          <cell r="K14" t="e">
            <v>#REF!</v>
          </cell>
        </row>
        <row r="17">
          <cell r="G17">
            <v>8.3940000000000001</v>
          </cell>
          <cell r="H17">
            <v>5.4</v>
          </cell>
          <cell r="I17">
            <v>5.3449999999999998</v>
          </cell>
          <cell r="J17">
            <v>6.6</v>
          </cell>
          <cell r="K17">
            <v>6.6</v>
          </cell>
        </row>
        <row r="20">
          <cell r="G20">
            <v>20</v>
          </cell>
          <cell r="H20">
            <v>21.8</v>
          </cell>
          <cell r="I20">
            <v>15</v>
          </cell>
          <cell r="J20">
            <v>20</v>
          </cell>
          <cell r="K20">
            <v>40</v>
          </cell>
        </row>
        <row r="23">
          <cell r="G23">
            <v>15</v>
          </cell>
          <cell r="H23">
            <v>22</v>
          </cell>
          <cell r="I23">
            <v>15</v>
          </cell>
          <cell r="J23">
            <v>19</v>
          </cell>
          <cell r="K23">
            <v>20</v>
          </cell>
        </row>
        <row r="26">
          <cell r="G26">
            <v>33</v>
          </cell>
          <cell r="H26">
            <v>22.000999999999902</v>
          </cell>
          <cell r="I26">
            <v>33</v>
          </cell>
          <cell r="J26">
            <v>33</v>
          </cell>
          <cell r="K26">
            <v>33</v>
          </cell>
        </row>
      </sheetData>
      <sheetData sheetId="9" refreshError="1"/>
      <sheetData sheetId="10" refreshError="1">
        <row r="9">
          <cell r="D9">
            <v>0</v>
          </cell>
          <cell r="E9">
            <v>0</v>
          </cell>
          <cell r="F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I10">
            <v>0</v>
          </cell>
        </row>
        <row r="11">
          <cell r="D11">
            <v>3424.8560000000002</v>
          </cell>
          <cell r="E11">
            <v>0</v>
          </cell>
          <cell r="F11">
            <v>0</v>
          </cell>
          <cell r="I11">
            <v>163.49332500000003</v>
          </cell>
        </row>
        <row r="12">
          <cell r="D12">
            <v>15051.796999999999</v>
          </cell>
          <cell r="E12">
            <v>0</v>
          </cell>
          <cell r="F12">
            <v>0</v>
          </cell>
          <cell r="I12">
            <v>801.05015000000014</v>
          </cell>
        </row>
        <row r="14">
          <cell r="D14">
            <v>0</v>
          </cell>
          <cell r="E14">
            <v>0</v>
          </cell>
          <cell r="F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I15">
            <v>0</v>
          </cell>
        </row>
        <row r="16">
          <cell r="D16">
            <v>17993.334000000003</v>
          </cell>
          <cell r="E16">
            <v>0</v>
          </cell>
          <cell r="F16">
            <v>0</v>
          </cell>
          <cell r="I16">
            <v>724.17600000000004</v>
          </cell>
        </row>
        <row r="17">
          <cell r="D17">
            <v>7117.4259999999995</v>
          </cell>
          <cell r="E17">
            <v>2297.29</v>
          </cell>
          <cell r="F17">
            <v>0</v>
          </cell>
          <cell r="I17">
            <v>416.4011999999999</v>
          </cell>
        </row>
        <row r="19">
          <cell r="D19">
            <v>0</v>
          </cell>
          <cell r="E19">
            <v>0</v>
          </cell>
          <cell r="F19">
            <v>0</v>
          </cell>
          <cell r="I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I20">
            <v>0</v>
          </cell>
        </row>
        <row r="21">
          <cell r="D21">
            <v>21218.421000000006</v>
          </cell>
          <cell r="E21">
            <v>866.7</v>
          </cell>
          <cell r="F21">
            <v>0</v>
          </cell>
          <cell r="I21">
            <v>1108.1428250000001</v>
          </cell>
        </row>
        <row r="22">
          <cell r="D22">
            <v>0</v>
          </cell>
          <cell r="E22">
            <v>0</v>
          </cell>
          <cell r="F22">
            <v>0</v>
          </cell>
          <cell r="I22">
            <v>0</v>
          </cell>
        </row>
      </sheetData>
      <sheetData sheetId="11" refreshError="1">
        <row r="6">
          <cell r="F6">
            <v>35645.040000000001</v>
          </cell>
          <cell r="G6">
            <v>38127.21</v>
          </cell>
          <cell r="H6">
            <v>37248.824999999997</v>
          </cell>
          <cell r="I6">
            <v>39009.326999999997</v>
          </cell>
          <cell r="J6" t="e">
            <v>#REF!</v>
          </cell>
        </row>
        <row r="7">
          <cell r="F7">
            <v>2682.96</v>
          </cell>
          <cell r="G7">
            <v>2869.7900000000004</v>
          </cell>
          <cell r="H7">
            <v>2803.6750000000002</v>
          </cell>
          <cell r="I7">
            <v>2730.6528900000003</v>
          </cell>
          <cell r="J7" t="e">
            <v>#REF!</v>
          </cell>
        </row>
        <row r="8">
          <cell r="F8">
            <v>10119</v>
          </cell>
          <cell r="G8">
            <v>10443</v>
          </cell>
          <cell r="H8">
            <v>10573.86</v>
          </cell>
          <cell r="I8">
            <v>11063.877336176</v>
          </cell>
          <cell r="J8" t="e">
            <v>#REF!</v>
          </cell>
        </row>
        <row r="12">
          <cell r="I12">
            <v>0</v>
          </cell>
          <cell r="J12">
            <v>0</v>
          </cell>
        </row>
        <row r="13">
          <cell r="I13">
            <v>0</v>
          </cell>
          <cell r="J13">
            <v>0</v>
          </cell>
        </row>
        <row r="14">
          <cell r="F14">
            <v>6311.6791661300622</v>
          </cell>
          <cell r="G14">
            <v>6020.9066362697258</v>
          </cell>
          <cell r="H14">
            <v>6198.5042293580746</v>
          </cell>
          <cell r="I14">
            <v>1824.7449999999999</v>
          </cell>
          <cell r="J14">
            <v>1995.8121500000002</v>
          </cell>
        </row>
        <row r="15">
          <cell r="F15">
            <v>8188.3208338699378</v>
          </cell>
          <cell r="G15">
            <v>7811.0933637302742</v>
          </cell>
          <cell r="H15">
            <v>8041.4957706419254</v>
          </cell>
          <cell r="I15">
            <v>1030.4549999999999</v>
          </cell>
          <cell r="J15">
            <v>1217.45135</v>
          </cell>
        </row>
        <row r="17">
          <cell r="I17">
            <v>13544.8</v>
          </cell>
          <cell r="J17">
            <v>15571.4365</v>
          </cell>
        </row>
        <row r="19">
          <cell r="I19">
            <v>1190</v>
          </cell>
          <cell r="J19">
            <v>1309</v>
          </cell>
        </row>
        <row r="23">
          <cell r="F23">
            <v>890</v>
          </cell>
          <cell r="G23">
            <v>4396</v>
          </cell>
          <cell r="H23">
            <v>529</v>
          </cell>
          <cell r="I23">
            <v>3707.4511299999999</v>
          </cell>
          <cell r="J23">
            <v>3710.0727090999999</v>
          </cell>
        </row>
        <row r="24">
          <cell r="F24">
            <v>135</v>
          </cell>
          <cell r="G24">
            <v>19</v>
          </cell>
          <cell r="H24">
            <v>37</v>
          </cell>
          <cell r="I24">
            <v>39.9303375</v>
          </cell>
          <cell r="J24">
            <v>0</v>
          </cell>
        </row>
        <row r="25">
          <cell r="I25">
            <v>0</v>
          </cell>
          <cell r="J25">
            <v>0</v>
          </cell>
        </row>
        <row r="28">
          <cell r="B28" t="str">
            <v>- налог на землю</v>
          </cell>
          <cell r="F28">
            <v>1150</v>
          </cell>
          <cell r="G28">
            <v>1346</v>
          </cell>
          <cell r="H28">
            <v>1175</v>
          </cell>
          <cell r="I28">
            <v>0</v>
          </cell>
          <cell r="J28">
            <v>0</v>
          </cell>
        </row>
        <row r="29">
          <cell r="B29" t="str">
            <v>ВН</v>
          </cell>
        </row>
        <row r="30">
          <cell r="B30" t="str">
            <v>СН1</v>
          </cell>
        </row>
        <row r="31">
          <cell r="B31" t="str">
            <v>СН2</v>
          </cell>
        </row>
        <row r="32">
          <cell r="B32" t="str">
            <v>НН</v>
          </cell>
        </row>
        <row r="33">
          <cell r="B33" t="str">
            <v>- налог на пользователей автодорог</v>
          </cell>
          <cell r="I33">
            <v>0</v>
          </cell>
          <cell r="J33">
            <v>0</v>
          </cell>
        </row>
        <row r="34">
          <cell r="B34" t="str">
            <v>- налог на транспорт</v>
          </cell>
          <cell r="F34">
            <v>135</v>
          </cell>
          <cell r="G34">
            <v>162</v>
          </cell>
          <cell r="H34">
            <v>59</v>
          </cell>
          <cell r="I34">
            <v>13.909000000000001</v>
          </cell>
          <cell r="J34">
            <v>14.882630000000001</v>
          </cell>
        </row>
        <row r="35">
          <cell r="B35" t="str">
            <v>УГЭН</v>
          </cell>
          <cell r="I35">
            <v>0</v>
          </cell>
          <cell r="J35">
            <v>0</v>
          </cell>
        </row>
        <row r="36">
          <cell r="B36" t="str">
            <v>РЭК</v>
          </cell>
          <cell r="I36">
            <v>0</v>
          </cell>
          <cell r="J36">
            <v>0</v>
          </cell>
        </row>
        <row r="37">
          <cell r="B37" t="str">
            <v>энергосбережение</v>
          </cell>
          <cell r="F37">
            <v>6901</v>
          </cell>
          <cell r="G37">
            <v>6916</v>
          </cell>
          <cell r="H37">
            <v>7522</v>
          </cell>
          <cell r="I37">
            <v>8461</v>
          </cell>
          <cell r="J37">
            <v>9307.1</v>
          </cell>
        </row>
        <row r="39">
          <cell r="F39">
            <v>37930.289999999994</v>
          </cell>
          <cell r="G39">
            <v>45011.000000000015</v>
          </cell>
          <cell r="H39">
            <v>30674.300000000003</v>
          </cell>
          <cell r="I39">
            <v>148789.73123808688</v>
          </cell>
          <cell r="J39" t="e">
            <v>#REF!</v>
          </cell>
        </row>
        <row r="41">
          <cell r="B41" t="str">
            <v>Арендная плата</v>
          </cell>
          <cell r="I41">
            <v>66177.510423013358</v>
          </cell>
          <cell r="J41">
            <v>70809.936152624301</v>
          </cell>
        </row>
        <row r="51">
          <cell r="H51">
            <v>45.6</v>
          </cell>
          <cell r="J51">
            <v>153350</v>
          </cell>
        </row>
        <row r="52">
          <cell r="H52">
            <v>23000</v>
          </cell>
          <cell r="J52">
            <v>0</v>
          </cell>
        </row>
        <row r="59">
          <cell r="F59">
            <v>814</v>
          </cell>
          <cell r="G59">
            <v>790.1321999999999</v>
          </cell>
          <cell r="H59">
            <v>829.8</v>
          </cell>
          <cell r="I59">
            <v>859.79800000000012</v>
          </cell>
          <cell r="J59">
            <v>884.48100000000011</v>
          </cell>
        </row>
        <row r="63">
          <cell r="F63">
            <v>76599.342336664922</v>
          </cell>
          <cell r="G63">
            <v>85668.187117584079</v>
          </cell>
          <cell r="H63">
            <v>56991.70046097145</v>
          </cell>
          <cell r="I63">
            <v>161012.02170558687</v>
          </cell>
          <cell r="J63" t="e">
            <v>#REF!</v>
          </cell>
        </row>
        <row r="67">
          <cell r="F67">
            <v>8392.0400000000009</v>
          </cell>
          <cell r="G67">
            <v>8392.0400000000009</v>
          </cell>
          <cell r="H67">
            <v>8392.0400000000009</v>
          </cell>
          <cell r="I67">
            <v>8392.0400000000009</v>
          </cell>
          <cell r="J67">
            <v>8392.0400000000009</v>
          </cell>
        </row>
        <row r="69">
          <cell r="I69">
            <v>0</v>
          </cell>
          <cell r="J69">
            <v>0</v>
          </cell>
        </row>
        <row r="70">
          <cell r="I70">
            <v>0</v>
          </cell>
          <cell r="J70">
            <v>0</v>
          </cell>
        </row>
        <row r="71">
          <cell r="F71">
            <v>6860.79</v>
          </cell>
          <cell r="G71">
            <v>6860.79</v>
          </cell>
          <cell r="H71">
            <v>6860.79</v>
          </cell>
          <cell r="I71">
            <v>6860.79</v>
          </cell>
          <cell r="J71">
            <v>6860.79</v>
          </cell>
        </row>
        <row r="72">
          <cell r="F72">
            <v>1531.25</v>
          </cell>
          <cell r="G72">
            <v>1531.25</v>
          </cell>
          <cell r="H72">
            <v>1531.25</v>
          </cell>
          <cell r="I72">
            <v>1531.25</v>
          </cell>
          <cell r="J72">
            <v>1531.25</v>
          </cell>
        </row>
      </sheetData>
      <sheetData sheetId="12" refreshError="1">
        <row r="9">
          <cell r="H9">
            <v>29996.920000000002</v>
          </cell>
          <cell r="I9">
            <v>55126.400000000001</v>
          </cell>
        </row>
        <row r="10">
          <cell r="H10">
            <v>0</v>
          </cell>
          <cell r="I10">
            <v>0</v>
          </cell>
        </row>
        <row r="13">
          <cell r="E13">
            <v>14500</v>
          </cell>
          <cell r="F13">
            <v>13832</v>
          </cell>
          <cell r="G13">
            <v>8007.2899291812919</v>
          </cell>
          <cell r="H13">
            <v>3590.3</v>
          </cell>
          <cell r="I13">
            <v>4027.0227332410809</v>
          </cell>
        </row>
        <row r="14">
          <cell r="H14" t="e">
            <v>#REF!</v>
          </cell>
          <cell r="I14" t="e">
            <v>#REF!</v>
          </cell>
        </row>
        <row r="15">
          <cell r="H15">
            <v>0</v>
          </cell>
          <cell r="I15">
            <v>9816.8799999999974</v>
          </cell>
        </row>
        <row r="16">
          <cell r="H16">
            <v>0</v>
          </cell>
          <cell r="I16">
            <v>0</v>
          </cell>
        </row>
        <row r="17">
          <cell r="H17">
            <v>0</v>
          </cell>
          <cell r="I17">
            <v>0</v>
          </cell>
        </row>
        <row r="18">
          <cell r="H18">
            <v>0</v>
          </cell>
          <cell r="I18">
            <v>0</v>
          </cell>
        </row>
        <row r="19">
          <cell r="H19">
            <v>26406.620000000003</v>
          </cell>
          <cell r="I19">
            <v>36223.5</v>
          </cell>
        </row>
        <row r="20">
          <cell r="H20">
            <v>0</v>
          </cell>
          <cell r="I20">
            <v>0</v>
          </cell>
        </row>
      </sheetData>
      <sheetData sheetId="13" refreshError="1"/>
      <sheetData sheetId="14" refreshError="1">
        <row r="10">
          <cell r="H10">
            <v>0</v>
          </cell>
          <cell r="I10">
            <v>1223.4594000000002</v>
          </cell>
        </row>
        <row r="13">
          <cell r="H13">
            <v>0</v>
          </cell>
          <cell r="I13">
            <v>0</v>
          </cell>
        </row>
        <row r="14">
          <cell r="H14">
            <v>0</v>
          </cell>
          <cell r="I14">
            <v>0</v>
          </cell>
        </row>
        <row r="15">
          <cell r="H15">
            <v>0</v>
          </cell>
          <cell r="I15">
            <v>0</v>
          </cell>
        </row>
        <row r="16">
          <cell r="H16">
            <v>0</v>
          </cell>
          <cell r="I16">
            <v>0</v>
          </cell>
        </row>
        <row r="17">
          <cell r="H17" t="e">
            <v>#REF!</v>
          </cell>
          <cell r="I17" t="e">
            <v>#REF!</v>
          </cell>
        </row>
        <row r="21">
          <cell r="H21">
            <v>0</v>
          </cell>
          <cell r="I21">
            <v>0</v>
          </cell>
        </row>
        <row r="22">
          <cell r="E22">
            <v>19264.849999999999</v>
          </cell>
          <cell r="F22">
            <v>27540</v>
          </cell>
          <cell r="G22">
            <v>30354.35</v>
          </cell>
          <cell r="H22" t="e">
            <v>#REF!</v>
          </cell>
          <cell r="I22" t="e">
            <v>#REF!</v>
          </cell>
        </row>
        <row r="24">
          <cell r="H24">
            <v>0</v>
          </cell>
        </row>
        <row r="28">
          <cell r="B28" t="str">
            <v>Другие прочие платежи из прибыли</v>
          </cell>
          <cell r="G28">
            <v>30354.35</v>
          </cell>
        </row>
        <row r="29">
          <cell r="B29" t="str">
            <v>Резерв по сомнительным долгам</v>
          </cell>
          <cell r="H29">
            <v>0</v>
          </cell>
        </row>
        <row r="30">
          <cell r="B30" t="str">
            <v>- резервный фонд</v>
          </cell>
          <cell r="I30" t="e">
            <v>#REF!</v>
          </cell>
        </row>
        <row r="32">
          <cell r="H32" t="e">
            <v>#REF!</v>
          </cell>
          <cell r="I32" t="e">
            <v>#REF!</v>
          </cell>
        </row>
        <row r="35">
          <cell r="E35">
            <v>8863.2099999999991</v>
          </cell>
          <cell r="F35">
            <v>8183</v>
          </cell>
          <cell r="H35" t="e">
            <v>#REF!</v>
          </cell>
          <cell r="I35" t="e">
            <v>#REF!</v>
          </cell>
        </row>
        <row r="36">
          <cell r="H36">
            <v>0</v>
          </cell>
          <cell r="I36">
            <v>0</v>
          </cell>
        </row>
        <row r="37">
          <cell r="H37">
            <v>0</v>
          </cell>
          <cell r="I37">
            <v>0</v>
          </cell>
        </row>
        <row r="38">
          <cell r="H38">
            <v>0</v>
          </cell>
          <cell r="I38">
            <v>0</v>
          </cell>
        </row>
        <row r="39">
          <cell r="H39">
            <v>0</v>
          </cell>
          <cell r="I39">
            <v>0</v>
          </cell>
        </row>
        <row r="40">
          <cell r="E40">
            <v>810</v>
          </cell>
          <cell r="F40">
            <v>622.6</v>
          </cell>
          <cell r="G40">
            <v>625</v>
          </cell>
          <cell r="H40">
            <v>0</v>
          </cell>
          <cell r="I40">
            <v>0</v>
          </cell>
        </row>
        <row r="48">
          <cell r="B48" t="str">
            <v>налог на прибыль связанный с переоценкой основных фондов</v>
          </cell>
          <cell r="H48">
            <v>1175.0201736000006</v>
          </cell>
          <cell r="I48">
            <v>1257.2715857520006</v>
          </cell>
        </row>
        <row r="49">
          <cell r="B49" t="str">
            <v>налог на прибыль на отчисления в фонд Энергосбережения</v>
          </cell>
          <cell r="H49">
            <v>2030.6399999999999</v>
          </cell>
          <cell r="I49">
            <v>2233.7040000000002</v>
          </cell>
        </row>
        <row r="50">
          <cell r="B50" t="str">
            <v>отчисления собственнику имущества (20%)</v>
          </cell>
          <cell r="F50">
            <v>1467</v>
          </cell>
          <cell r="H50" t="e">
            <v>#REF!</v>
          </cell>
          <cell r="I50" t="e">
            <v>#REF!</v>
          </cell>
        </row>
        <row r="54">
          <cell r="H54">
            <v>0</v>
          </cell>
          <cell r="I54" t="e">
            <v>#REF!</v>
          </cell>
        </row>
        <row r="55">
          <cell r="H55" t="e">
            <v>#REF!</v>
          </cell>
          <cell r="I55" t="e">
            <v>#REF!</v>
          </cell>
        </row>
        <row r="56">
          <cell r="E56">
            <v>23657.889222096172</v>
          </cell>
          <cell r="F56">
            <v>30913.140065347634</v>
          </cell>
          <cell r="G56">
            <v>25326.716112709182</v>
          </cell>
          <cell r="H56" t="e">
            <v>#REF!</v>
          </cell>
          <cell r="I56" t="e">
            <v>#REF!</v>
          </cell>
        </row>
        <row r="57">
          <cell r="E57">
            <v>5280.1707779038215</v>
          </cell>
          <cell r="F57">
            <v>6899.4599346523601</v>
          </cell>
          <cell r="G57">
            <v>5652.6338872908127</v>
          </cell>
          <cell r="H57" t="e">
            <v>#REF!</v>
          </cell>
          <cell r="I57" t="e">
            <v>#REF!</v>
          </cell>
        </row>
      </sheetData>
      <sheetData sheetId="15" refreshError="1"/>
      <sheetData sheetId="16" refreshError="1"/>
      <sheetData sheetId="17" refreshError="1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</sheetData>
      <sheetData sheetId="18" refreshError="1">
        <row r="34">
          <cell r="F34">
            <v>140</v>
          </cell>
          <cell r="G34">
            <v>2.6</v>
          </cell>
        </row>
        <row r="35">
          <cell r="F35">
            <v>110</v>
          </cell>
          <cell r="G35">
            <v>53.2</v>
          </cell>
        </row>
        <row r="37">
          <cell r="F37">
            <v>350</v>
          </cell>
          <cell r="G37">
            <v>497.2</v>
          </cell>
        </row>
        <row r="41">
          <cell r="F41">
            <v>220</v>
          </cell>
          <cell r="G41">
            <v>91.9</v>
          </cell>
        </row>
        <row r="42">
          <cell r="F42">
            <v>150</v>
          </cell>
          <cell r="G42">
            <v>381.5</v>
          </cell>
        </row>
        <row r="43">
          <cell r="F43">
            <v>270</v>
          </cell>
          <cell r="G43">
            <v>250.9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3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9"/>
      <sheetName val="28"/>
      <sheetName val="30"/>
      <sheetName val="ОАО Каскад Нижне-Черекских ГЭС "/>
      <sheetName val="Набор персонала"/>
      <sheetName val="Main"/>
    </sheetNames>
    <sheetDataSet>
      <sheetData sheetId="0" refreshError="1">
        <row r="14">
          <cell r="B14">
            <v>2007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 ВВ перв"/>
      <sheetName val="ВВ перв (Без-1)"/>
      <sheetName val="ВВ перв (Без-2)"/>
      <sheetName val="ВВ перв (Без-3)"/>
      <sheetName val="См ВВ втор"/>
      <sheetName val="См ВВ покр"/>
      <sheetName val="ВВ втор (Без-1)"/>
      <sheetName val="ВВ втор (Без-2)"/>
      <sheetName val="ВВ покр"/>
      <sheetName val="ВВ втор ввод (Без-3)"/>
      <sheetName val="Защ тр-ра"/>
      <sheetName val="ВВ втор _Без_1_"/>
      <sheetName val="Заголово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T770"/>
  <sheetViews>
    <sheetView view="pageBreakPreview" topLeftCell="A361" zoomScale="90" zoomScaleNormal="100" zoomScaleSheetLayoutView="90" workbookViewId="0">
      <selection activeCell="H583" sqref="H583:H761"/>
    </sheetView>
  </sheetViews>
  <sheetFormatPr defaultColWidth="9.140625" defaultRowHeight="15.75" x14ac:dyDescent="0.25"/>
  <cols>
    <col min="1" max="1" width="23.140625" style="5" customWidth="1"/>
    <col min="2" max="2" width="65.5703125" style="4" bestFit="1" customWidth="1"/>
    <col min="3" max="3" width="16" style="1" customWidth="1"/>
    <col min="4" max="4" width="18.5703125" style="3" customWidth="1"/>
    <col min="5" max="5" width="21.7109375" style="1" customWidth="1"/>
    <col min="6" max="6" width="22.28515625" style="3" customWidth="1"/>
    <col min="7" max="8" width="17" style="2" customWidth="1"/>
    <col min="9" max="9" width="12.7109375" style="1" customWidth="1"/>
    <col min="10" max="10" width="10.140625" style="1" customWidth="1"/>
    <col min="11" max="11" width="8.7109375" style="1" customWidth="1"/>
    <col min="12" max="12" width="10.7109375" style="1" customWidth="1"/>
    <col min="13" max="13" width="9.140625" style="1" customWidth="1"/>
    <col min="14" max="14" width="22.5703125" style="1" customWidth="1"/>
    <col min="15" max="15" width="19.28515625" style="1" customWidth="1"/>
    <col min="16" max="20" width="9.140625" style="1" customWidth="1"/>
    <col min="21" max="16384" width="9.140625" style="1"/>
  </cols>
  <sheetData>
    <row r="1" spans="1:12" x14ac:dyDescent="0.25">
      <c r="F1" s="334" t="s">
        <v>683</v>
      </c>
      <c r="G1" s="334"/>
      <c r="H1" s="81"/>
    </row>
    <row r="2" spans="1:12" ht="6.75" customHeight="1" x14ac:dyDescent="0.25"/>
    <row r="3" spans="1:12" ht="17.25" customHeight="1" x14ac:dyDescent="0.25">
      <c r="A3" s="335" t="s">
        <v>682</v>
      </c>
      <c r="B3" s="335"/>
      <c r="C3" s="335"/>
      <c r="D3" s="335"/>
      <c r="E3" s="335"/>
      <c r="F3" s="335"/>
      <c r="G3" s="335"/>
      <c r="H3" s="5"/>
    </row>
    <row r="4" spans="1:12" ht="10.5" customHeight="1" x14ac:dyDescent="0.25"/>
    <row r="5" spans="1:12" s="3" customFormat="1" ht="189" x14ac:dyDescent="0.25">
      <c r="A5" s="22" t="s">
        <v>681</v>
      </c>
      <c r="B5" s="14" t="s">
        <v>680</v>
      </c>
      <c r="C5" s="12" t="s">
        <v>679</v>
      </c>
      <c r="D5" s="12" t="s">
        <v>678</v>
      </c>
      <c r="E5" s="12" t="s">
        <v>677</v>
      </c>
      <c r="F5" s="12" t="s">
        <v>676</v>
      </c>
      <c r="G5" s="50" t="s">
        <v>725</v>
      </c>
      <c r="H5" s="134"/>
    </row>
    <row r="6" spans="1:12" ht="15.75" customHeight="1" x14ac:dyDescent="0.25">
      <c r="A6" s="22">
        <v>1</v>
      </c>
      <c r="B6" s="14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3"/>
    </row>
    <row r="7" spans="1:12" s="30" customFormat="1" ht="15.75" customHeight="1" x14ac:dyDescent="0.25">
      <c r="A7" s="35" t="s">
        <v>675</v>
      </c>
      <c r="B7" s="34" t="s">
        <v>674</v>
      </c>
      <c r="C7" s="33"/>
      <c r="D7" s="17"/>
      <c r="E7" s="33"/>
      <c r="F7" s="17"/>
      <c r="G7" s="32"/>
      <c r="H7" s="135"/>
    </row>
    <row r="8" spans="1:12" ht="31.5" customHeight="1" x14ac:dyDescent="0.25">
      <c r="A8" s="25" t="s">
        <v>673</v>
      </c>
      <c r="B8" s="29" t="s">
        <v>672</v>
      </c>
      <c r="C8" s="13"/>
      <c r="D8" s="12"/>
      <c r="E8" s="13"/>
      <c r="F8" s="12"/>
      <c r="G8" s="11"/>
    </row>
    <row r="9" spans="1:12" ht="31.5" customHeight="1" x14ac:dyDescent="0.25">
      <c r="A9" s="25" t="s">
        <v>671</v>
      </c>
      <c r="B9" s="29" t="s">
        <v>670</v>
      </c>
      <c r="C9" s="13"/>
      <c r="D9" s="12"/>
      <c r="E9" s="13"/>
      <c r="F9" s="12"/>
      <c r="G9" s="11"/>
    </row>
    <row r="10" spans="1:12" ht="31.5" customHeight="1" x14ac:dyDescent="0.25">
      <c r="A10" s="25" t="s">
        <v>669</v>
      </c>
      <c r="B10" s="29" t="s">
        <v>668</v>
      </c>
      <c r="C10" s="13"/>
      <c r="D10" s="12"/>
      <c r="E10" s="13"/>
      <c r="F10" s="12"/>
      <c r="G10" s="11"/>
    </row>
    <row r="11" spans="1:12" ht="80.099999999999994" customHeight="1" x14ac:dyDescent="0.25">
      <c r="A11" s="25" t="s">
        <v>667</v>
      </c>
      <c r="B11" s="29" t="s">
        <v>666</v>
      </c>
      <c r="C11" s="13"/>
      <c r="D11" s="12"/>
      <c r="E11" s="13"/>
      <c r="F11" s="12"/>
      <c r="G11" s="11"/>
    </row>
    <row r="12" spans="1:12" ht="18.95" customHeight="1" x14ac:dyDescent="0.25">
      <c r="A12" s="25" t="s">
        <v>665</v>
      </c>
      <c r="B12" s="29" t="s">
        <v>664</v>
      </c>
      <c r="C12" s="13"/>
      <c r="D12" s="12"/>
      <c r="E12" s="13"/>
      <c r="F12" s="12"/>
      <c r="G12" s="11"/>
    </row>
    <row r="13" spans="1:12" ht="17.25" customHeight="1" x14ac:dyDescent="0.25">
      <c r="A13" s="69" t="s">
        <v>564</v>
      </c>
      <c r="B13" s="14" t="s">
        <v>663</v>
      </c>
      <c r="C13" s="60">
        <v>2020</v>
      </c>
      <c r="D13" s="60">
        <v>0.4</v>
      </c>
      <c r="E13" s="60">
        <v>384</v>
      </c>
      <c r="F13" s="39">
        <v>15</v>
      </c>
      <c r="G13" s="68">
        <v>278.64</v>
      </c>
      <c r="H13" s="136"/>
      <c r="I13" s="70" t="s">
        <v>662</v>
      </c>
      <c r="J13" s="80"/>
      <c r="L13" s="80"/>
    </row>
    <row r="14" spans="1:12" ht="17.25" customHeight="1" x14ac:dyDescent="0.25">
      <c r="A14" s="79" t="s">
        <v>564</v>
      </c>
      <c r="B14" s="14" t="s">
        <v>473</v>
      </c>
      <c r="C14" s="78">
        <v>2020</v>
      </c>
      <c r="D14" s="78">
        <v>0.4</v>
      </c>
      <c r="E14" s="78">
        <v>126</v>
      </c>
      <c r="F14" s="78">
        <v>15</v>
      </c>
      <c r="G14" s="77">
        <v>231.49</v>
      </c>
      <c r="H14" s="137"/>
      <c r="I14" s="76" t="s">
        <v>549</v>
      </c>
      <c r="J14" s="70"/>
      <c r="L14" s="75"/>
    </row>
    <row r="15" spans="1:12" ht="17.25" customHeight="1" x14ac:dyDescent="0.25">
      <c r="A15" s="69" t="s">
        <v>564</v>
      </c>
      <c r="B15" s="14" t="s">
        <v>661</v>
      </c>
      <c r="C15" s="60">
        <v>2020</v>
      </c>
      <c r="D15" s="60">
        <v>0.4</v>
      </c>
      <c r="E15" s="60">
        <v>43</v>
      </c>
      <c r="F15" s="60">
        <v>15</v>
      </c>
      <c r="G15" s="74">
        <v>26.33</v>
      </c>
      <c r="H15" s="138"/>
      <c r="I15" s="70" t="s">
        <v>660</v>
      </c>
      <c r="J15" s="70"/>
      <c r="L15" s="75"/>
    </row>
    <row r="16" spans="1:12" ht="17.25" customHeight="1" x14ac:dyDescent="0.25">
      <c r="A16" s="69" t="s">
        <v>563</v>
      </c>
      <c r="B16" s="14" t="s">
        <v>659</v>
      </c>
      <c r="C16" s="60">
        <v>2020</v>
      </c>
      <c r="D16" s="60">
        <v>0.4</v>
      </c>
      <c r="E16" s="60">
        <v>119</v>
      </c>
      <c r="F16" s="39">
        <v>5</v>
      </c>
      <c r="G16" s="74">
        <v>23.22</v>
      </c>
      <c r="H16" s="138"/>
      <c r="I16" s="70" t="s">
        <v>658</v>
      </c>
      <c r="J16" s="70"/>
      <c r="L16" s="70"/>
    </row>
    <row r="17" spans="1:14" ht="17.25" customHeight="1" x14ac:dyDescent="0.25">
      <c r="A17" s="69" t="s">
        <v>563</v>
      </c>
      <c r="B17" s="14" t="s">
        <v>657</v>
      </c>
      <c r="C17" s="60">
        <v>2020</v>
      </c>
      <c r="D17" s="60">
        <v>0.4</v>
      </c>
      <c r="E17" s="39">
        <v>308</v>
      </c>
      <c r="F17" s="39">
        <v>5</v>
      </c>
      <c r="G17" s="68">
        <v>250.44</v>
      </c>
      <c r="H17" s="136"/>
      <c r="I17" s="70" t="s">
        <v>656</v>
      </c>
      <c r="J17" s="70"/>
      <c r="L17" s="70"/>
    </row>
    <row r="18" spans="1:14" ht="17.25" customHeight="1" x14ac:dyDescent="0.25">
      <c r="A18" s="69" t="s">
        <v>563</v>
      </c>
      <c r="B18" s="14" t="s">
        <v>655</v>
      </c>
      <c r="C18" s="60">
        <v>2020</v>
      </c>
      <c r="D18" s="60">
        <v>0.4</v>
      </c>
      <c r="E18" s="39">
        <v>263</v>
      </c>
      <c r="F18" s="39">
        <v>15</v>
      </c>
      <c r="G18" s="68">
        <v>251.51</v>
      </c>
      <c r="H18" s="136"/>
      <c r="I18" s="70" t="s">
        <v>654</v>
      </c>
      <c r="J18" s="70"/>
      <c r="L18" s="70"/>
    </row>
    <row r="19" spans="1:14" ht="17.25" customHeight="1" x14ac:dyDescent="0.25">
      <c r="A19" s="69" t="s">
        <v>564</v>
      </c>
      <c r="B19" s="14" t="s">
        <v>653</v>
      </c>
      <c r="C19" s="60">
        <v>2020</v>
      </c>
      <c r="D19" s="60">
        <v>0.4</v>
      </c>
      <c r="E19" s="39">
        <v>178</v>
      </c>
      <c r="F19" s="39">
        <v>15</v>
      </c>
      <c r="G19" s="68">
        <v>155.57</v>
      </c>
      <c r="H19" s="136"/>
      <c r="I19" s="70" t="s">
        <v>652</v>
      </c>
      <c r="J19" s="70"/>
      <c r="L19" s="70"/>
    </row>
    <row r="20" spans="1:14" ht="17.25" customHeight="1" x14ac:dyDescent="0.25">
      <c r="A20" s="69" t="s">
        <v>651</v>
      </c>
      <c r="B20" s="14" t="s">
        <v>471</v>
      </c>
      <c r="C20" s="39">
        <v>2020</v>
      </c>
      <c r="D20" s="39">
        <v>0.4</v>
      </c>
      <c r="E20" s="39">
        <v>107.7</v>
      </c>
      <c r="F20" s="60">
        <v>15</v>
      </c>
      <c r="G20" s="71">
        <v>48.08</v>
      </c>
      <c r="H20" s="139"/>
      <c r="I20" s="67" t="s">
        <v>650</v>
      </c>
      <c r="J20" s="58" t="s">
        <v>649</v>
      </c>
      <c r="L20" s="73"/>
    </row>
    <row r="21" spans="1:14" ht="17.25" customHeight="1" x14ac:dyDescent="0.25">
      <c r="A21" s="28" t="s">
        <v>564</v>
      </c>
      <c r="B21" s="27" t="s">
        <v>647</v>
      </c>
      <c r="C21" s="26">
        <v>2020</v>
      </c>
      <c r="D21" s="26">
        <v>0.4</v>
      </c>
      <c r="E21" s="26">
        <v>189</v>
      </c>
      <c r="F21" s="26">
        <v>15</v>
      </c>
      <c r="G21" s="72">
        <v>257.16000000000003</v>
      </c>
      <c r="H21" s="140"/>
      <c r="I21" s="57" t="s">
        <v>449</v>
      </c>
      <c r="J21" s="57" t="s">
        <v>648</v>
      </c>
      <c r="L21" s="66"/>
    </row>
    <row r="22" spans="1:14" ht="17.25" customHeight="1" x14ac:dyDescent="0.25">
      <c r="A22" s="28" t="s">
        <v>563</v>
      </c>
      <c r="B22" s="27" t="s">
        <v>647</v>
      </c>
      <c r="C22" s="26">
        <v>2020</v>
      </c>
      <c r="D22" s="26">
        <v>0.4</v>
      </c>
      <c r="E22" s="26">
        <v>65</v>
      </c>
      <c r="F22" s="26">
        <v>15</v>
      </c>
      <c r="G22" s="72">
        <v>33.42</v>
      </c>
      <c r="H22" s="140"/>
      <c r="I22" s="57"/>
      <c r="J22" s="57"/>
      <c r="L22" s="66"/>
    </row>
    <row r="23" spans="1:14" ht="17.25" customHeight="1" x14ac:dyDescent="0.25">
      <c r="A23" s="69" t="s">
        <v>564</v>
      </c>
      <c r="B23" s="14" t="s">
        <v>646</v>
      </c>
      <c r="C23" s="39">
        <v>2020</v>
      </c>
      <c r="D23" s="39">
        <v>0.4</v>
      </c>
      <c r="E23" s="39">
        <v>190</v>
      </c>
      <c r="F23" s="60">
        <v>100</v>
      </c>
      <c r="G23" s="71">
        <v>72.17</v>
      </c>
      <c r="H23" s="139"/>
      <c r="I23" s="67" t="s">
        <v>645</v>
      </c>
      <c r="J23" s="58"/>
      <c r="L23" s="66"/>
    </row>
    <row r="24" spans="1:14" ht="17.25" customHeight="1" x14ac:dyDescent="0.25">
      <c r="A24" s="69" t="s">
        <v>564</v>
      </c>
      <c r="B24" s="14" t="s">
        <v>300</v>
      </c>
      <c r="C24" s="39">
        <v>2020</v>
      </c>
      <c r="D24" s="39">
        <v>0.4</v>
      </c>
      <c r="E24" s="39">
        <v>53</v>
      </c>
      <c r="F24" s="60">
        <v>50</v>
      </c>
      <c r="G24" s="71">
        <v>162.63999999999999</v>
      </c>
      <c r="H24" s="141"/>
      <c r="I24" s="70">
        <v>52.4</v>
      </c>
      <c r="J24" s="58"/>
      <c r="L24" s="66"/>
    </row>
    <row r="25" spans="1:14" ht="17.25" customHeight="1" x14ac:dyDescent="0.25">
      <c r="A25" s="69" t="s">
        <v>564</v>
      </c>
      <c r="B25" s="14" t="s">
        <v>644</v>
      </c>
      <c r="C25" s="39">
        <v>2020</v>
      </c>
      <c r="D25" s="39">
        <v>0.4</v>
      </c>
      <c r="E25" s="39">
        <v>205</v>
      </c>
      <c r="F25" s="39">
        <v>60</v>
      </c>
      <c r="G25" s="68">
        <v>407.57</v>
      </c>
      <c r="H25" s="142"/>
      <c r="I25" s="67" t="s">
        <v>643</v>
      </c>
      <c r="J25" s="58"/>
      <c r="L25" s="66"/>
    </row>
    <row r="26" spans="1:14" ht="17.25" customHeight="1" x14ac:dyDescent="0.25">
      <c r="A26" s="69" t="s">
        <v>564</v>
      </c>
      <c r="B26" s="14" t="s">
        <v>642</v>
      </c>
      <c r="C26" s="39">
        <v>2020</v>
      </c>
      <c r="D26" s="39">
        <v>0.4</v>
      </c>
      <c r="E26" s="39">
        <v>200</v>
      </c>
      <c r="F26" s="60">
        <v>100</v>
      </c>
      <c r="G26" s="68">
        <v>115.64</v>
      </c>
      <c r="H26" s="142"/>
      <c r="I26" s="67">
        <v>12479</v>
      </c>
      <c r="J26" s="58"/>
      <c r="L26" s="66"/>
    </row>
    <row r="27" spans="1:14" ht="17.25" customHeight="1" x14ac:dyDescent="0.25">
      <c r="A27" s="69" t="s">
        <v>562</v>
      </c>
      <c r="B27" s="14" t="s">
        <v>641</v>
      </c>
      <c r="C27" s="60">
        <v>2020</v>
      </c>
      <c r="D27" s="60">
        <v>0.4</v>
      </c>
      <c r="E27" s="39">
        <v>676</v>
      </c>
      <c r="F27" s="39">
        <v>25</v>
      </c>
      <c r="G27" s="68">
        <v>672.93</v>
      </c>
      <c r="H27" s="136"/>
      <c r="I27" s="70" t="s">
        <v>640</v>
      </c>
      <c r="J27" s="70">
        <v>672.93</v>
      </c>
      <c r="L27" s="66"/>
    </row>
    <row r="28" spans="1:14" ht="17.25" customHeight="1" x14ac:dyDescent="0.25">
      <c r="A28" s="69" t="s">
        <v>563</v>
      </c>
      <c r="B28" s="14" t="s">
        <v>282</v>
      </c>
      <c r="C28" s="39">
        <v>2020</v>
      </c>
      <c r="D28" s="60">
        <v>0.4</v>
      </c>
      <c r="E28" s="39">
        <v>20</v>
      </c>
      <c r="F28" s="39">
        <v>14</v>
      </c>
      <c r="G28" s="68">
        <v>4.76</v>
      </c>
      <c r="H28" s="136"/>
      <c r="I28" s="70">
        <v>338</v>
      </c>
      <c r="J28" s="70"/>
      <c r="L28" s="66"/>
    </row>
    <row r="29" spans="1:14" ht="17.25" customHeight="1" x14ac:dyDescent="0.25">
      <c r="A29" s="69" t="s">
        <v>563</v>
      </c>
      <c r="B29" s="14" t="s">
        <v>282</v>
      </c>
      <c r="C29" s="39">
        <v>2020</v>
      </c>
      <c r="D29" s="60">
        <v>0.4</v>
      </c>
      <c r="E29" s="39">
        <v>46</v>
      </c>
      <c r="F29" s="60">
        <v>14</v>
      </c>
      <c r="G29" s="68">
        <v>167.09</v>
      </c>
      <c r="H29" s="142"/>
      <c r="I29" s="67">
        <v>338</v>
      </c>
      <c r="J29" s="58"/>
      <c r="L29" s="66"/>
    </row>
    <row r="30" spans="1:14" ht="17.25" customHeight="1" x14ac:dyDescent="0.25">
      <c r="A30" s="62" t="s">
        <v>639</v>
      </c>
      <c r="B30" s="82" t="s">
        <v>638</v>
      </c>
      <c r="C30" s="60">
        <v>2020</v>
      </c>
      <c r="D30" s="60">
        <v>6</v>
      </c>
      <c r="E30" s="60">
        <v>205</v>
      </c>
      <c r="F30" s="60">
        <v>300</v>
      </c>
      <c r="G30" s="59">
        <v>399.38</v>
      </c>
      <c r="H30" s="143"/>
      <c r="I30" s="57" t="s">
        <v>637</v>
      </c>
      <c r="J30" s="65"/>
      <c r="L30" s="64"/>
      <c r="N30" s="52"/>
    </row>
    <row r="31" spans="1:14" ht="17.25" customHeight="1" x14ac:dyDescent="0.25">
      <c r="A31" s="62" t="s">
        <v>563</v>
      </c>
      <c r="B31" s="82" t="s">
        <v>252</v>
      </c>
      <c r="C31" s="60">
        <v>2021</v>
      </c>
      <c r="D31" s="60">
        <v>0.4</v>
      </c>
      <c r="E31" s="60">
        <v>120</v>
      </c>
      <c r="F31" s="60">
        <v>15</v>
      </c>
      <c r="G31" s="59">
        <v>27.730599999999999</v>
      </c>
      <c r="H31" s="143"/>
      <c r="I31" s="57" t="s">
        <v>636</v>
      </c>
      <c r="J31" s="65"/>
      <c r="L31" s="64"/>
      <c r="N31" s="52"/>
    </row>
    <row r="32" spans="1:14" ht="17.25" customHeight="1" x14ac:dyDescent="0.25">
      <c r="A32" s="62" t="s">
        <v>563</v>
      </c>
      <c r="B32" s="82" t="s">
        <v>635</v>
      </c>
      <c r="C32" s="60">
        <v>2021</v>
      </c>
      <c r="D32" s="60">
        <v>0.4</v>
      </c>
      <c r="E32" s="60">
        <v>46</v>
      </c>
      <c r="F32" s="60">
        <v>15</v>
      </c>
      <c r="G32" s="59">
        <v>28.8673</v>
      </c>
      <c r="H32" s="143"/>
      <c r="I32" s="57" t="s">
        <v>634</v>
      </c>
      <c r="J32" s="65"/>
      <c r="L32" s="64"/>
      <c r="N32" s="52"/>
    </row>
    <row r="33" spans="1:14" ht="17.25" customHeight="1" x14ac:dyDescent="0.25">
      <c r="A33" s="62" t="s">
        <v>563</v>
      </c>
      <c r="B33" s="82" t="s">
        <v>633</v>
      </c>
      <c r="C33" s="60">
        <v>2021</v>
      </c>
      <c r="D33" s="60">
        <v>0.4</v>
      </c>
      <c r="E33" s="60">
        <v>61</v>
      </c>
      <c r="F33" s="60">
        <v>15</v>
      </c>
      <c r="G33" s="59">
        <v>35.5533</v>
      </c>
      <c r="H33" s="143"/>
      <c r="I33" s="57" t="s">
        <v>632</v>
      </c>
      <c r="J33" s="65"/>
      <c r="L33" s="64"/>
      <c r="N33" s="52"/>
    </row>
    <row r="34" spans="1:14" ht="17.25" customHeight="1" x14ac:dyDescent="0.25">
      <c r="A34" s="62" t="s">
        <v>564</v>
      </c>
      <c r="B34" s="82" t="s">
        <v>631</v>
      </c>
      <c r="C34" s="60">
        <v>2021</v>
      </c>
      <c r="D34" s="60">
        <v>0.4</v>
      </c>
      <c r="E34" s="60">
        <v>274</v>
      </c>
      <c r="F34" s="60">
        <v>15</v>
      </c>
      <c r="G34" s="59">
        <v>372.01900000000001</v>
      </c>
      <c r="H34" s="143"/>
      <c r="I34" s="57" t="s">
        <v>630</v>
      </c>
      <c r="J34" s="65"/>
      <c r="L34" s="64"/>
      <c r="N34" s="52"/>
    </row>
    <row r="35" spans="1:14" ht="17.25" customHeight="1" x14ac:dyDescent="0.25">
      <c r="A35" s="62" t="s">
        <v>563</v>
      </c>
      <c r="B35" s="82" t="s">
        <v>629</v>
      </c>
      <c r="C35" s="60">
        <v>2021</v>
      </c>
      <c r="D35" s="60">
        <v>0.4</v>
      </c>
      <c r="E35" s="60">
        <v>53</v>
      </c>
      <c r="F35" s="60">
        <v>15</v>
      </c>
      <c r="G35" s="59">
        <v>23.258099999999999</v>
      </c>
      <c r="H35" s="143"/>
      <c r="I35" s="57" t="s">
        <v>628</v>
      </c>
      <c r="J35" s="65"/>
      <c r="L35" s="64"/>
      <c r="N35" s="52"/>
    </row>
    <row r="36" spans="1:14" ht="17.25" customHeight="1" x14ac:dyDescent="0.25">
      <c r="A36" s="62" t="s">
        <v>563</v>
      </c>
      <c r="B36" s="82" t="s">
        <v>627</v>
      </c>
      <c r="C36" s="60">
        <v>2021</v>
      </c>
      <c r="D36" s="60">
        <v>0.4</v>
      </c>
      <c r="E36" s="60">
        <v>20</v>
      </c>
      <c r="F36" s="60">
        <v>5</v>
      </c>
      <c r="G36" s="59">
        <v>16.187100000000001</v>
      </c>
      <c r="H36" s="143"/>
      <c r="I36" s="57" t="s">
        <v>626</v>
      </c>
      <c r="J36" s="65"/>
      <c r="L36" s="64"/>
      <c r="N36" s="52"/>
    </row>
    <row r="37" spans="1:14" ht="17.25" customHeight="1" x14ac:dyDescent="0.25">
      <c r="A37" s="62" t="s">
        <v>563</v>
      </c>
      <c r="B37" s="82" t="s">
        <v>625</v>
      </c>
      <c r="C37" s="60">
        <v>2021</v>
      </c>
      <c r="D37" s="60">
        <v>0.4</v>
      </c>
      <c r="E37" s="60">
        <v>120</v>
      </c>
      <c r="F37" s="60">
        <v>15</v>
      </c>
      <c r="G37" s="59">
        <v>23.052399999999999</v>
      </c>
      <c r="H37" s="143"/>
      <c r="I37" s="57" t="s">
        <v>624</v>
      </c>
      <c r="J37" s="65"/>
      <c r="L37" s="64"/>
      <c r="N37" s="52"/>
    </row>
    <row r="38" spans="1:14" ht="17.25" customHeight="1" x14ac:dyDescent="0.25">
      <c r="A38" s="62" t="s">
        <v>563</v>
      </c>
      <c r="B38" s="82" t="s">
        <v>124</v>
      </c>
      <c r="C38" s="60">
        <v>2021</v>
      </c>
      <c r="D38" s="60">
        <v>0.4</v>
      </c>
      <c r="E38" s="60">
        <v>40</v>
      </c>
      <c r="F38" s="60">
        <v>15</v>
      </c>
      <c r="G38" s="59">
        <v>11.1975</v>
      </c>
      <c r="H38" s="143"/>
      <c r="I38" s="57" t="s">
        <v>623</v>
      </c>
      <c r="J38" s="65"/>
      <c r="L38" s="64"/>
      <c r="N38" s="52"/>
    </row>
    <row r="39" spans="1:14" ht="17.25" customHeight="1" x14ac:dyDescent="0.25">
      <c r="A39" s="62" t="s">
        <v>563</v>
      </c>
      <c r="B39" s="82" t="s">
        <v>622</v>
      </c>
      <c r="C39" s="60">
        <v>2021</v>
      </c>
      <c r="D39" s="60">
        <v>0.4</v>
      </c>
      <c r="E39" s="60">
        <v>95</v>
      </c>
      <c r="F39" s="60">
        <v>15</v>
      </c>
      <c r="G39" s="59">
        <v>98.036500000000004</v>
      </c>
      <c r="H39" s="143"/>
      <c r="I39" s="57" t="s">
        <v>621</v>
      </c>
      <c r="J39" s="65"/>
      <c r="L39" s="64"/>
      <c r="N39" s="52"/>
    </row>
    <row r="40" spans="1:14" ht="17.25" customHeight="1" x14ac:dyDescent="0.25">
      <c r="A40" s="62" t="s">
        <v>563</v>
      </c>
      <c r="B40" s="82" t="s">
        <v>207</v>
      </c>
      <c r="C40" s="60">
        <v>2021</v>
      </c>
      <c r="D40" s="60">
        <v>0.4</v>
      </c>
      <c r="E40" s="60">
        <v>28</v>
      </c>
      <c r="F40" s="60">
        <v>5</v>
      </c>
      <c r="G40" s="59">
        <v>10.8569</v>
      </c>
      <c r="H40" s="143"/>
      <c r="I40" s="57" t="s">
        <v>434</v>
      </c>
      <c r="J40" s="65"/>
      <c r="L40" s="64"/>
      <c r="N40" s="52"/>
    </row>
    <row r="41" spans="1:14" ht="17.25" customHeight="1" x14ac:dyDescent="0.25">
      <c r="A41" s="62" t="s">
        <v>563</v>
      </c>
      <c r="B41" s="82" t="s">
        <v>433</v>
      </c>
      <c r="C41" s="60">
        <v>2021</v>
      </c>
      <c r="D41" s="60">
        <v>0.4</v>
      </c>
      <c r="E41" s="60">
        <v>63</v>
      </c>
      <c r="F41" s="60">
        <v>5</v>
      </c>
      <c r="G41" s="59">
        <v>15.677</v>
      </c>
      <c r="H41" s="143"/>
      <c r="I41" s="57" t="s">
        <v>432</v>
      </c>
      <c r="J41" s="65"/>
      <c r="L41" s="64"/>
      <c r="N41" s="52"/>
    </row>
    <row r="42" spans="1:14" ht="17.25" customHeight="1" x14ac:dyDescent="0.25">
      <c r="A42" s="62" t="s">
        <v>563</v>
      </c>
      <c r="B42" s="82" t="s">
        <v>620</v>
      </c>
      <c r="C42" s="60">
        <v>2021</v>
      </c>
      <c r="D42" s="60">
        <v>0.4</v>
      </c>
      <c r="E42" s="60">
        <v>111</v>
      </c>
      <c r="F42" s="60">
        <v>15</v>
      </c>
      <c r="G42" s="59">
        <v>138.12799999999999</v>
      </c>
      <c r="H42" s="143"/>
      <c r="I42" s="57" t="s">
        <v>619</v>
      </c>
      <c r="J42" s="65"/>
      <c r="L42" s="64"/>
      <c r="N42" s="52"/>
    </row>
    <row r="43" spans="1:14" ht="17.25" customHeight="1" x14ac:dyDescent="0.25">
      <c r="A43" s="62" t="s">
        <v>563</v>
      </c>
      <c r="B43" s="82" t="s">
        <v>618</v>
      </c>
      <c r="C43" s="60">
        <v>2021</v>
      </c>
      <c r="D43" s="60">
        <v>0.4</v>
      </c>
      <c r="E43" s="60">
        <v>224</v>
      </c>
      <c r="F43" s="60">
        <v>5</v>
      </c>
      <c r="G43" s="59">
        <v>65.398700000000005</v>
      </c>
      <c r="H43" s="143"/>
      <c r="I43" s="57" t="s">
        <v>617</v>
      </c>
      <c r="J43" s="65"/>
      <c r="L43" s="64"/>
      <c r="N43" s="52"/>
    </row>
    <row r="44" spans="1:14" ht="17.25" customHeight="1" x14ac:dyDescent="0.25">
      <c r="A44" s="62" t="s">
        <v>563</v>
      </c>
      <c r="B44" s="82" t="s">
        <v>616</v>
      </c>
      <c r="C44" s="60">
        <v>2021</v>
      </c>
      <c r="D44" s="60">
        <v>0.4</v>
      </c>
      <c r="E44" s="60">
        <v>200</v>
      </c>
      <c r="F44" s="60">
        <v>15</v>
      </c>
      <c r="G44" s="59">
        <v>303.72000000000003</v>
      </c>
      <c r="H44" s="143"/>
      <c r="I44" s="57" t="s">
        <v>615</v>
      </c>
      <c r="J44" s="65"/>
      <c r="L44" s="64"/>
      <c r="N44" s="52"/>
    </row>
    <row r="45" spans="1:14" ht="17.25" customHeight="1" x14ac:dyDescent="0.25">
      <c r="A45" s="62" t="s">
        <v>563</v>
      </c>
      <c r="B45" s="82" t="s">
        <v>215</v>
      </c>
      <c r="C45" s="60">
        <v>2021</v>
      </c>
      <c r="D45" s="60">
        <v>0.4</v>
      </c>
      <c r="E45" s="60">
        <v>32</v>
      </c>
      <c r="F45" s="60">
        <v>15</v>
      </c>
      <c r="G45" s="59">
        <v>15.5602</v>
      </c>
      <c r="H45" s="143"/>
      <c r="I45" s="57" t="s">
        <v>614</v>
      </c>
      <c r="J45" s="65"/>
      <c r="L45" s="64"/>
      <c r="N45" s="52"/>
    </row>
    <row r="46" spans="1:14" ht="17.25" customHeight="1" x14ac:dyDescent="0.25">
      <c r="A46" s="62" t="s">
        <v>563</v>
      </c>
      <c r="B46" s="82" t="s">
        <v>613</v>
      </c>
      <c r="C46" s="60">
        <v>2021</v>
      </c>
      <c r="D46" s="60">
        <v>0.4</v>
      </c>
      <c r="E46" s="60">
        <v>84</v>
      </c>
      <c r="F46" s="60">
        <v>15</v>
      </c>
      <c r="G46" s="59">
        <v>27.002099999999999</v>
      </c>
      <c r="H46" s="143"/>
      <c r="I46" s="57" t="s">
        <v>612</v>
      </c>
      <c r="J46" s="65"/>
      <c r="L46" s="64"/>
      <c r="N46" s="52"/>
    </row>
    <row r="47" spans="1:14" ht="17.25" customHeight="1" x14ac:dyDescent="0.25">
      <c r="A47" s="62" t="s">
        <v>564</v>
      </c>
      <c r="B47" s="82" t="s">
        <v>611</v>
      </c>
      <c r="C47" s="60">
        <v>2021</v>
      </c>
      <c r="D47" s="60">
        <v>0.4</v>
      </c>
      <c r="E47" s="60">
        <v>43</v>
      </c>
      <c r="F47" s="60"/>
      <c r="G47" s="59">
        <v>26.329499999999999</v>
      </c>
      <c r="H47" s="143"/>
      <c r="I47" s="57"/>
      <c r="J47" s="65"/>
      <c r="L47" s="64"/>
      <c r="N47" s="52"/>
    </row>
    <row r="48" spans="1:14" ht="17.25" customHeight="1" x14ac:dyDescent="0.25">
      <c r="A48" s="62" t="s">
        <v>563</v>
      </c>
      <c r="B48" s="82" t="s">
        <v>610</v>
      </c>
      <c r="C48" s="60">
        <v>2021</v>
      </c>
      <c r="D48" s="60">
        <v>0.4</v>
      </c>
      <c r="E48" s="60">
        <v>70</v>
      </c>
      <c r="F48" s="60">
        <v>5</v>
      </c>
      <c r="G48" s="59">
        <v>34.062600000000003</v>
      </c>
      <c r="H48" s="143"/>
      <c r="I48" s="57" t="s">
        <v>609</v>
      </c>
      <c r="J48" s="65"/>
      <c r="L48" s="64"/>
      <c r="N48" s="52"/>
    </row>
    <row r="49" spans="1:14" ht="17.25" customHeight="1" x14ac:dyDescent="0.25">
      <c r="A49" s="62" t="s">
        <v>563</v>
      </c>
      <c r="B49" s="82" t="s">
        <v>608</v>
      </c>
      <c r="C49" s="60">
        <v>2021</v>
      </c>
      <c r="D49" s="60">
        <v>6</v>
      </c>
      <c r="E49" s="60">
        <v>10</v>
      </c>
      <c r="F49" s="60">
        <v>5</v>
      </c>
      <c r="G49" s="59">
        <v>94.545400000000001</v>
      </c>
      <c r="H49" s="143"/>
      <c r="I49" s="57" t="s">
        <v>607</v>
      </c>
      <c r="J49" s="65"/>
      <c r="L49" s="64"/>
      <c r="N49" s="52"/>
    </row>
    <row r="50" spans="1:14" ht="17.25" customHeight="1" x14ac:dyDescent="0.25">
      <c r="A50" s="62" t="s">
        <v>564</v>
      </c>
      <c r="B50" s="82" t="s">
        <v>606</v>
      </c>
      <c r="C50" s="60">
        <v>2021</v>
      </c>
      <c r="D50" s="60">
        <v>0.4</v>
      </c>
      <c r="E50" s="60">
        <v>261</v>
      </c>
      <c r="F50" s="60">
        <v>15</v>
      </c>
      <c r="G50" s="59">
        <v>109.60299999999999</v>
      </c>
      <c r="H50" s="143"/>
      <c r="I50" s="57" t="s">
        <v>605</v>
      </c>
      <c r="J50" s="65"/>
      <c r="L50" s="64"/>
      <c r="N50" s="52"/>
    </row>
    <row r="51" spans="1:14" ht="17.25" customHeight="1" x14ac:dyDescent="0.25">
      <c r="A51" s="62" t="s">
        <v>563</v>
      </c>
      <c r="B51" s="82" t="s">
        <v>186</v>
      </c>
      <c r="C51" s="60">
        <v>2021</v>
      </c>
      <c r="D51" s="60">
        <v>0.4</v>
      </c>
      <c r="E51" s="60">
        <v>30</v>
      </c>
      <c r="F51" s="60">
        <v>15</v>
      </c>
      <c r="G51" s="59">
        <v>21.963000000000001</v>
      </c>
      <c r="H51" s="143"/>
      <c r="I51" s="57" t="s">
        <v>604</v>
      </c>
      <c r="J51" s="65"/>
      <c r="L51" s="64"/>
      <c r="N51" s="52"/>
    </row>
    <row r="52" spans="1:14" ht="17.25" customHeight="1" x14ac:dyDescent="0.25">
      <c r="A52" s="62" t="s">
        <v>563</v>
      </c>
      <c r="B52" s="82" t="s">
        <v>142</v>
      </c>
      <c r="C52" s="60">
        <v>2021</v>
      </c>
      <c r="D52" s="60">
        <v>0.4</v>
      </c>
      <c r="E52" s="60">
        <v>196</v>
      </c>
      <c r="F52" s="60">
        <v>5</v>
      </c>
      <c r="G52" s="59">
        <v>93.299000000000007</v>
      </c>
      <c r="H52" s="143"/>
      <c r="I52" s="57" t="s">
        <v>603</v>
      </c>
      <c r="J52" s="65"/>
      <c r="L52" s="64"/>
      <c r="N52" s="52"/>
    </row>
    <row r="53" spans="1:14" ht="17.25" customHeight="1" x14ac:dyDescent="0.25">
      <c r="A53" s="62" t="s">
        <v>563</v>
      </c>
      <c r="B53" s="82" t="s">
        <v>602</v>
      </c>
      <c r="C53" s="60">
        <v>2021</v>
      </c>
      <c r="D53" s="60">
        <v>0.4</v>
      </c>
      <c r="E53" s="60">
        <v>86</v>
      </c>
      <c r="F53" s="60">
        <v>10</v>
      </c>
      <c r="G53" s="59">
        <v>29.929400000000001</v>
      </c>
      <c r="H53" s="143"/>
      <c r="I53" s="57" t="s">
        <v>601</v>
      </c>
      <c r="J53" s="65"/>
      <c r="L53" s="64"/>
      <c r="N53" s="52"/>
    </row>
    <row r="54" spans="1:14" ht="17.25" customHeight="1" x14ac:dyDescent="0.25">
      <c r="A54" s="62" t="s">
        <v>563</v>
      </c>
      <c r="B54" s="82" t="s">
        <v>600</v>
      </c>
      <c r="C54" s="60">
        <v>2021</v>
      </c>
      <c r="D54" s="60">
        <v>0.4</v>
      </c>
      <c r="E54" s="60">
        <v>274</v>
      </c>
      <c r="F54" s="60">
        <v>10</v>
      </c>
      <c r="G54" s="59">
        <v>149.434</v>
      </c>
      <c r="H54" s="143"/>
      <c r="I54" s="57" t="s">
        <v>599</v>
      </c>
      <c r="J54" s="65"/>
      <c r="L54" s="64"/>
      <c r="N54" s="52"/>
    </row>
    <row r="55" spans="1:14" ht="17.25" customHeight="1" x14ac:dyDescent="0.25">
      <c r="A55" s="62" t="s">
        <v>563</v>
      </c>
      <c r="B55" s="82" t="s">
        <v>598</v>
      </c>
      <c r="C55" s="60">
        <v>2021</v>
      </c>
      <c r="D55" s="60">
        <v>0.4</v>
      </c>
      <c r="E55" s="60">
        <v>76</v>
      </c>
      <c r="F55" s="60">
        <v>10</v>
      </c>
      <c r="G55" s="59">
        <v>22.759799999999998</v>
      </c>
      <c r="H55" s="143"/>
      <c r="I55" s="57" t="s">
        <v>597</v>
      </c>
      <c r="J55" s="65"/>
      <c r="L55" s="64"/>
      <c r="N55" s="52"/>
    </row>
    <row r="56" spans="1:14" ht="17.25" customHeight="1" x14ac:dyDescent="0.25">
      <c r="A56" s="62" t="s">
        <v>563</v>
      </c>
      <c r="B56" s="82" t="s">
        <v>596</v>
      </c>
      <c r="C56" s="60">
        <v>2021</v>
      </c>
      <c r="D56" s="60">
        <v>0.4</v>
      </c>
      <c r="E56" s="60">
        <v>67</v>
      </c>
      <c r="F56" s="60">
        <v>10</v>
      </c>
      <c r="G56" s="59">
        <v>9.6864899999999992</v>
      </c>
      <c r="H56" s="143"/>
      <c r="I56" s="57" t="s">
        <v>595</v>
      </c>
      <c r="J56" s="65"/>
      <c r="L56" s="64"/>
      <c r="N56" s="52"/>
    </row>
    <row r="57" spans="1:14" ht="17.25" customHeight="1" x14ac:dyDescent="0.25">
      <c r="A57" s="62" t="s">
        <v>563</v>
      </c>
      <c r="B57" s="82" t="s">
        <v>594</v>
      </c>
      <c r="C57" s="60">
        <v>2021</v>
      </c>
      <c r="D57" s="60">
        <v>0.4</v>
      </c>
      <c r="E57" s="60">
        <v>240</v>
      </c>
      <c r="F57" s="60">
        <v>30</v>
      </c>
      <c r="G57" s="59">
        <v>54.777200000000001</v>
      </c>
      <c r="H57" s="143"/>
      <c r="I57" s="57" t="s">
        <v>593</v>
      </c>
      <c r="J57" s="65"/>
      <c r="L57" s="64"/>
      <c r="N57" s="52"/>
    </row>
    <row r="58" spans="1:14" ht="17.25" customHeight="1" x14ac:dyDescent="0.25">
      <c r="A58" s="62" t="s">
        <v>563</v>
      </c>
      <c r="B58" s="82" t="s">
        <v>592</v>
      </c>
      <c r="C58" s="60">
        <v>2021</v>
      </c>
      <c r="D58" s="60">
        <v>0.4</v>
      </c>
      <c r="E58" s="60">
        <v>75</v>
      </c>
      <c r="F58" s="60">
        <v>50</v>
      </c>
      <c r="G58" s="59">
        <v>27.682300000000001</v>
      </c>
      <c r="H58" s="143"/>
      <c r="I58" s="57" t="s">
        <v>591</v>
      </c>
      <c r="J58" s="65"/>
      <c r="L58" s="64"/>
      <c r="N58" s="52"/>
    </row>
    <row r="59" spans="1:14" ht="17.25" customHeight="1" x14ac:dyDescent="0.25">
      <c r="A59" s="62" t="s">
        <v>563</v>
      </c>
      <c r="B59" s="82" t="s">
        <v>130</v>
      </c>
      <c r="C59" s="60">
        <v>2021</v>
      </c>
      <c r="D59" s="60">
        <v>0.4</v>
      </c>
      <c r="E59" s="60">
        <v>85</v>
      </c>
      <c r="F59" s="60">
        <v>15</v>
      </c>
      <c r="G59" s="59">
        <v>154.65600000000001</v>
      </c>
      <c r="H59" s="143"/>
      <c r="I59" s="57" t="s">
        <v>590</v>
      </c>
      <c r="J59" s="65"/>
      <c r="L59" s="64"/>
      <c r="N59" s="52"/>
    </row>
    <row r="60" spans="1:14" ht="17.25" customHeight="1" x14ac:dyDescent="0.25">
      <c r="A60" s="62" t="s">
        <v>563</v>
      </c>
      <c r="B60" s="82" t="s">
        <v>589</v>
      </c>
      <c r="C60" s="60">
        <v>2021</v>
      </c>
      <c r="D60" s="60">
        <v>0.4</v>
      </c>
      <c r="E60" s="60">
        <v>71</v>
      </c>
      <c r="F60" s="60">
        <v>14</v>
      </c>
      <c r="G60" s="59">
        <v>34.4816</v>
      </c>
      <c r="H60" s="143"/>
      <c r="I60" s="57" t="s">
        <v>588</v>
      </c>
      <c r="J60" s="65"/>
      <c r="L60" s="64"/>
      <c r="N60" s="52"/>
    </row>
    <row r="61" spans="1:14" ht="17.25" customHeight="1" x14ac:dyDescent="0.25">
      <c r="A61" s="62" t="s">
        <v>563</v>
      </c>
      <c r="B61" s="82" t="s">
        <v>587</v>
      </c>
      <c r="C61" s="60">
        <v>2021</v>
      </c>
      <c r="D61" s="60">
        <v>0.4</v>
      </c>
      <c r="E61" s="60">
        <v>72</v>
      </c>
      <c r="F61" s="60">
        <v>14</v>
      </c>
      <c r="G61" s="59">
        <v>12.555999999999999</v>
      </c>
      <c r="H61" s="143"/>
      <c r="I61" s="57" t="s">
        <v>586</v>
      </c>
      <c r="J61" s="65"/>
      <c r="L61" s="64"/>
      <c r="N61" s="52"/>
    </row>
    <row r="62" spans="1:14" ht="17.25" customHeight="1" x14ac:dyDescent="0.25">
      <c r="A62" s="62" t="s">
        <v>564</v>
      </c>
      <c r="B62" s="82" t="s">
        <v>585</v>
      </c>
      <c r="C62" s="60">
        <v>2021</v>
      </c>
      <c r="D62" s="60">
        <v>0.4</v>
      </c>
      <c r="E62" s="60">
        <v>367</v>
      </c>
      <c r="F62" s="60">
        <v>60</v>
      </c>
      <c r="G62" s="59">
        <v>244.22300000000001</v>
      </c>
      <c r="H62" s="143"/>
      <c r="I62" s="57" t="s">
        <v>584</v>
      </c>
      <c r="J62" s="65"/>
      <c r="L62" s="64"/>
      <c r="N62" s="52"/>
    </row>
    <row r="63" spans="1:14" ht="17.25" customHeight="1" x14ac:dyDescent="0.25">
      <c r="A63" s="62" t="s">
        <v>564</v>
      </c>
      <c r="B63" s="82" t="s">
        <v>583</v>
      </c>
      <c r="C63" s="60">
        <v>2021</v>
      </c>
      <c r="D63" s="60">
        <v>0.4</v>
      </c>
      <c r="E63" s="60">
        <v>220</v>
      </c>
      <c r="F63" s="60">
        <v>45</v>
      </c>
      <c r="G63" s="59">
        <v>71.641000000000005</v>
      </c>
      <c r="H63" s="143"/>
      <c r="I63" s="57" t="s">
        <v>582</v>
      </c>
      <c r="J63" s="65"/>
      <c r="L63" s="64"/>
      <c r="N63" s="52"/>
    </row>
    <row r="64" spans="1:14" ht="17.25" customHeight="1" x14ac:dyDescent="0.25">
      <c r="A64" s="62" t="s">
        <v>563</v>
      </c>
      <c r="B64" s="82" t="s">
        <v>150</v>
      </c>
      <c r="C64" s="60">
        <v>2021</v>
      </c>
      <c r="D64" s="60">
        <v>0.4</v>
      </c>
      <c r="E64" s="60">
        <v>178</v>
      </c>
      <c r="F64" s="60">
        <v>15</v>
      </c>
      <c r="G64" s="59">
        <v>72.457300000000004</v>
      </c>
      <c r="H64" s="143"/>
      <c r="I64" s="57" t="s">
        <v>581</v>
      </c>
      <c r="J64" s="65"/>
      <c r="L64" s="64"/>
      <c r="N64" s="52"/>
    </row>
    <row r="65" spans="1:14" ht="17.25" customHeight="1" x14ac:dyDescent="0.25">
      <c r="A65" s="62" t="s">
        <v>565</v>
      </c>
      <c r="B65" s="82" t="s">
        <v>514</v>
      </c>
      <c r="C65" s="60">
        <v>2021</v>
      </c>
      <c r="D65" s="60">
        <v>0.4</v>
      </c>
      <c r="E65" s="60">
        <v>156</v>
      </c>
      <c r="F65" s="60">
        <v>100</v>
      </c>
      <c r="G65" s="59">
        <v>580.70000000000005</v>
      </c>
      <c r="H65" s="143"/>
      <c r="I65" s="57" t="s">
        <v>361</v>
      </c>
      <c r="J65" s="65"/>
      <c r="L65" s="64"/>
      <c r="N65" s="52"/>
    </row>
    <row r="66" spans="1:14" ht="17.25" customHeight="1" x14ac:dyDescent="0.25">
      <c r="A66" s="62" t="s">
        <v>563</v>
      </c>
      <c r="B66" s="82" t="s">
        <v>580</v>
      </c>
      <c r="C66" s="60">
        <v>2021</v>
      </c>
      <c r="D66" s="60">
        <v>0.4</v>
      </c>
      <c r="E66" s="45">
        <v>264</v>
      </c>
      <c r="F66" s="60">
        <v>30</v>
      </c>
      <c r="G66" s="59">
        <v>140.744</v>
      </c>
      <c r="H66" s="143"/>
      <c r="I66" s="57" t="s">
        <v>579</v>
      </c>
      <c r="J66" s="65"/>
      <c r="L66" s="64"/>
      <c r="N66" s="52"/>
    </row>
    <row r="67" spans="1:14" ht="17.25" customHeight="1" x14ac:dyDescent="0.25">
      <c r="A67" s="62" t="s">
        <v>564</v>
      </c>
      <c r="B67" s="82" t="s">
        <v>578</v>
      </c>
      <c r="C67" s="60">
        <v>2021</v>
      </c>
      <c r="D67" s="60">
        <v>0.4</v>
      </c>
      <c r="E67" s="45">
        <v>145</v>
      </c>
      <c r="F67" s="60">
        <v>60</v>
      </c>
      <c r="G67" s="59">
        <v>155.47999999999999</v>
      </c>
      <c r="H67" s="143"/>
      <c r="I67" s="57" t="s">
        <v>577</v>
      </c>
      <c r="J67" s="65"/>
      <c r="L67" s="64"/>
      <c r="N67" s="52"/>
    </row>
    <row r="68" spans="1:14" ht="17.25" customHeight="1" x14ac:dyDescent="0.25">
      <c r="A68" s="62" t="s">
        <v>564</v>
      </c>
      <c r="B68" s="82" t="s">
        <v>405</v>
      </c>
      <c r="C68" s="60">
        <v>2021</v>
      </c>
      <c r="D68" s="60">
        <v>0.4</v>
      </c>
      <c r="E68" s="45">
        <v>95</v>
      </c>
      <c r="F68" s="60">
        <v>70</v>
      </c>
      <c r="G68" s="59">
        <v>65.470399999999998</v>
      </c>
      <c r="H68" s="143"/>
      <c r="I68" s="57" t="s">
        <v>404</v>
      </c>
      <c r="J68" s="65"/>
      <c r="L68" s="64"/>
      <c r="N68" s="52"/>
    </row>
    <row r="69" spans="1:14" ht="17.25" customHeight="1" x14ac:dyDescent="0.25">
      <c r="A69" s="62" t="s">
        <v>563</v>
      </c>
      <c r="B69" s="82" t="s">
        <v>576</v>
      </c>
      <c r="C69" s="60">
        <v>2021</v>
      </c>
      <c r="D69" s="60">
        <v>0.4</v>
      </c>
      <c r="E69" s="45">
        <v>284</v>
      </c>
      <c r="F69" s="60">
        <v>25</v>
      </c>
      <c r="G69" s="59">
        <v>206.99700000000001</v>
      </c>
      <c r="H69" s="143"/>
      <c r="I69" s="57" t="s">
        <v>575</v>
      </c>
      <c r="J69" s="65"/>
      <c r="L69" s="64"/>
      <c r="N69" s="52"/>
    </row>
    <row r="70" spans="1:14" ht="17.25" customHeight="1" x14ac:dyDescent="0.25">
      <c r="A70" s="62" t="s">
        <v>564</v>
      </c>
      <c r="B70" s="82" t="s">
        <v>574</v>
      </c>
      <c r="C70" s="60">
        <v>2021</v>
      </c>
      <c r="D70" s="60">
        <v>0.4</v>
      </c>
      <c r="E70" s="45">
        <v>409</v>
      </c>
      <c r="F70" s="60">
        <v>5</v>
      </c>
      <c r="G70" s="59">
        <v>442.49599999999998</v>
      </c>
      <c r="H70" s="143"/>
      <c r="I70" s="57" t="s">
        <v>573</v>
      </c>
      <c r="J70" s="65"/>
      <c r="L70" s="64"/>
      <c r="N70" s="52"/>
    </row>
    <row r="71" spans="1:14" ht="17.25" customHeight="1" x14ac:dyDescent="0.25">
      <c r="A71" s="62" t="s">
        <v>563</v>
      </c>
      <c r="B71" s="83" t="s">
        <v>121</v>
      </c>
      <c r="C71" s="63">
        <v>2022</v>
      </c>
      <c r="D71" s="60">
        <v>0.4</v>
      </c>
      <c r="E71" s="45">
        <v>69</v>
      </c>
      <c r="F71" s="60">
        <v>15</v>
      </c>
      <c r="G71" s="59">
        <v>13256.21</v>
      </c>
      <c r="H71" s="143">
        <f>G71/1000</f>
        <v>13.256209999999999</v>
      </c>
      <c r="I71" s="57"/>
      <c r="J71" s="58"/>
      <c r="L71" s="57"/>
      <c r="N71" s="52"/>
    </row>
    <row r="72" spans="1:14" ht="17.25" customHeight="1" x14ac:dyDescent="0.25">
      <c r="A72" s="62" t="s">
        <v>563</v>
      </c>
      <c r="B72" s="83" t="s">
        <v>120</v>
      </c>
      <c r="C72" s="60">
        <v>2022</v>
      </c>
      <c r="D72" s="60">
        <v>0.4</v>
      </c>
      <c r="E72" s="45">
        <v>115</v>
      </c>
      <c r="F72" s="60">
        <v>15</v>
      </c>
      <c r="G72" s="59">
        <v>138341.19</v>
      </c>
      <c r="H72" s="143">
        <f t="shared" ref="H72:H135" si="0">G72/1000</f>
        <v>138.34119000000001</v>
      </c>
      <c r="I72" s="57"/>
      <c r="J72" s="58"/>
      <c r="L72" s="57"/>
      <c r="N72" s="52"/>
    </row>
    <row r="73" spans="1:14" ht="17.25" customHeight="1" x14ac:dyDescent="0.25">
      <c r="A73" s="62" t="s">
        <v>563</v>
      </c>
      <c r="B73" s="83" t="s">
        <v>684</v>
      </c>
      <c r="C73" s="60">
        <v>2022</v>
      </c>
      <c r="D73" s="60">
        <v>0.4</v>
      </c>
      <c r="E73" s="45">
        <v>122</v>
      </c>
      <c r="F73" s="60">
        <v>9</v>
      </c>
      <c r="G73" s="59">
        <v>36312.186666666668</v>
      </c>
      <c r="H73" s="143">
        <f t="shared" si="0"/>
        <v>36.312186666666669</v>
      </c>
      <c r="I73" s="57"/>
      <c r="J73" s="58"/>
      <c r="L73" s="57"/>
      <c r="N73" s="52"/>
    </row>
    <row r="74" spans="1:14" ht="17.25" customHeight="1" x14ac:dyDescent="0.25">
      <c r="A74" s="62" t="s">
        <v>563</v>
      </c>
      <c r="B74" s="83" t="s">
        <v>684</v>
      </c>
      <c r="C74" s="60">
        <v>2022</v>
      </c>
      <c r="D74" s="60">
        <v>0.4</v>
      </c>
      <c r="E74" s="45"/>
      <c r="F74" s="60"/>
      <c r="G74" s="59">
        <v>36312.186666666668</v>
      </c>
      <c r="H74" s="143">
        <f t="shared" si="0"/>
        <v>36.312186666666669</v>
      </c>
      <c r="I74" s="57"/>
      <c r="J74" s="58"/>
      <c r="L74" s="57"/>
      <c r="N74" s="52"/>
    </row>
    <row r="75" spans="1:14" ht="17.25" customHeight="1" x14ac:dyDescent="0.25">
      <c r="A75" s="62" t="s">
        <v>563</v>
      </c>
      <c r="B75" s="83" t="s">
        <v>684</v>
      </c>
      <c r="C75" s="60">
        <v>2022</v>
      </c>
      <c r="D75" s="60">
        <v>0.4</v>
      </c>
      <c r="E75" s="45"/>
      <c r="F75" s="60"/>
      <c r="G75" s="59">
        <v>36312.186666666668</v>
      </c>
      <c r="H75" s="143">
        <f t="shared" si="0"/>
        <v>36.312186666666669</v>
      </c>
      <c r="I75" s="57"/>
      <c r="J75" s="58"/>
      <c r="L75" s="57"/>
      <c r="N75" s="52"/>
    </row>
    <row r="76" spans="1:14" ht="17.25" customHeight="1" x14ac:dyDescent="0.25">
      <c r="A76" s="62" t="s">
        <v>563</v>
      </c>
      <c r="B76" s="83" t="s">
        <v>571</v>
      </c>
      <c r="C76" s="60">
        <v>2022</v>
      </c>
      <c r="D76" s="60">
        <v>0.4</v>
      </c>
      <c r="E76" s="60">
        <v>191</v>
      </c>
      <c r="F76" s="60">
        <v>15</v>
      </c>
      <c r="G76" s="59">
        <v>128041.81</v>
      </c>
      <c r="H76" s="143">
        <f t="shared" si="0"/>
        <v>128.04181</v>
      </c>
      <c r="I76" s="57"/>
      <c r="J76" s="58"/>
      <c r="L76" s="57"/>
      <c r="N76" s="52"/>
    </row>
    <row r="77" spans="1:14" ht="17.25" customHeight="1" x14ac:dyDescent="0.25">
      <c r="A77" s="62" t="s">
        <v>564</v>
      </c>
      <c r="B77" s="83" t="s">
        <v>395</v>
      </c>
      <c r="C77" s="60">
        <v>2022</v>
      </c>
      <c r="D77" s="60">
        <v>0.4</v>
      </c>
      <c r="E77" s="60">
        <v>236</v>
      </c>
      <c r="F77" s="60">
        <v>100</v>
      </c>
      <c r="G77" s="59">
        <v>32056.235999999997</v>
      </c>
      <c r="H77" s="143">
        <f t="shared" si="0"/>
        <v>32.056235999999998</v>
      </c>
      <c r="I77" s="57"/>
      <c r="J77" s="58"/>
      <c r="L77" s="57"/>
      <c r="N77" s="52"/>
    </row>
    <row r="78" spans="1:14" ht="17.25" customHeight="1" x14ac:dyDescent="0.25">
      <c r="A78" s="62" t="s">
        <v>564</v>
      </c>
      <c r="B78" s="83" t="s">
        <v>395</v>
      </c>
      <c r="C78" s="60">
        <v>2022</v>
      </c>
      <c r="D78" s="60">
        <v>0.4</v>
      </c>
      <c r="E78" s="60"/>
      <c r="F78" s="60"/>
      <c r="G78" s="59">
        <v>32056.235999999997</v>
      </c>
      <c r="H78" s="143">
        <f t="shared" si="0"/>
        <v>32.056235999999998</v>
      </c>
      <c r="I78" s="57"/>
      <c r="J78" s="58"/>
      <c r="L78" s="57"/>
      <c r="N78" s="52"/>
    </row>
    <row r="79" spans="1:14" ht="17.25" customHeight="1" x14ac:dyDescent="0.25">
      <c r="A79" s="62" t="s">
        <v>563</v>
      </c>
      <c r="B79" s="83" t="s">
        <v>119</v>
      </c>
      <c r="C79" s="60">
        <v>2022</v>
      </c>
      <c r="D79" s="60">
        <v>0.4</v>
      </c>
      <c r="E79" s="60">
        <v>68</v>
      </c>
      <c r="F79" s="60">
        <v>22</v>
      </c>
      <c r="G79" s="59">
        <v>2292.2640000000001</v>
      </c>
      <c r="H79" s="143">
        <f t="shared" si="0"/>
        <v>2.2922640000000003</v>
      </c>
      <c r="I79" s="57"/>
      <c r="J79" s="58"/>
      <c r="L79" s="57"/>
      <c r="N79" s="52"/>
    </row>
    <row r="80" spans="1:14" ht="17.25" customHeight="1" x14ac:dyDescent="0.25">
      <c r="A80" s="62" t="s">
        <v>563</v>
      </c>
      <c r="B80" s="83" t="s">
        <v>119</v>
      </c>
      <c r="C80" s="60">
        <v>2022</v>
      </c>
      <c r="D80" s="60">
        <v>0.4</v>
      </c>
      <c r="E80" s="60"/>
      <c r="F80" s="60"/>
      <c r="G80" s="59">
        <v>2292.2640000000001</v>
      </c>
      <c r="H80" s="143">
        <f t="shared" si="0"/>
        <v>2.2922640000000003</v>
      </c>
      <c r="I80" s="57"/>
      <c r="J80" s="58"/>
      <c r="L80" s="57"/>
      <c r="N80" s="52"/>
    </row>
    <row r="81" spans="1:14" ht="17.25" customHeight="1" x14ac:dyDescent="0.25">
      <c r="A81" s="62" t="s">
        <v>563</v>
      </c>
      <c r="B81" s="83" t="s">
        <v>118</v>
      </c>
      <c r="C81" s="60">
        <v>2022</v>
      </c>
      <c r="D81" s="60">
        <v>0.4</v>
      </c>
      <c r="E81" s="60"/>
      <c r="F81" s="60"/>
      <c r="G81" s="59">
        <v>2292.2640000000001</v>
      </c>
      <c r="H81" s="143">
        <f t="shared" si="0"/>
        <v>2.2922640000000003</v>
      </c>
      <c r="I81" s="57"/>
      <c r="J81" s="58"/>
      <c r="L81" s="57"/>
      <c r="N81" s="52"/>
    </row>
    <row r="82" spans="1:14" ht="17.25" customHeight="1" x14ac:dyDescent="0.25">
      <c r="A82" s="62" t="s">
        <v>563</v>
      </c>
      <c r="B82" s="83" t="s">
        <v>117</v>
      </c>
      <c r="C82" s="60">
        <v>2022</v>
      </c>
      <c r="D82" s="60">
        <v>0.4</v>
      </c>
      <c r="E82" s="60"/>
      <c r="F82" s="60"/>
      <c r="G82" s="59">
        <v>2292.2640000000001</v>
      </c>
      <c r="H82" s="143">
        <f t="shared" si="0"/>
        <v>2.2922640000000003</v>
      </c>
      <c r="I82" s="57"/>
      <c r="J82" s="58"/>
      <c r="L82" s="57"/>
      <c r="N82" s="52"/>
    </row>
    <row r="83" spans="1:14" ht="17.25" customHeight="1" x14ac:dyDescent="0.25">
      <c r="A83" s="62" t="s">
        <v>563</v>
      </c>
      <c r="B83" s="83" t="s">
        <v>393</v>
      </c>
      <c r="C83" s="60">
        <v>2022</v>
      </c>
      <c r="D83" s="60">
        <v>0.4</v>
      </c>
      <c r="E83" s="60"/>
      <c r="F83" s="60"/>
      <c r="G83" s="59">
        <v>2292.2640000000001</v>
      </c>
      <c r="H83" s="143">
        <f t="shared" si="0"/>
        <v>2.2922640000000003</v>
      </c>
      <c r="I83" s="57"/>
      <c r="J83" s="58"/>
      <c r="L83" s="57"/>
      <c r="N83" s="52"/>
    </row>
    <row r="84" spans="1:14" ht="17.25" customHeight="1" x14ac:dyDescent="0.25">
      <c r="A84" s="62" t="s">
        <v>563</v>
      </c>
      <c r="B84" s="83" t="s">
        <v>391</v>
      </c>
      <c r="C84" s="60">
        <v>2022</v>
      </c>
      <c r="D84" s="60">
        <v>0.4</v>
      </c>
      <c r="E84" s="45">
        <v>41</v>
      </c>
      <c r="F84" s="60">
        <v>5</v>
      </c>
      <c r="G84" s="59">
        <v>91919.07</v>
      </c>
      <c r="H84" s="143">
        <f t="shared" si="0"/>
        <v>91.919070000000005</v>
      </c>
      <c r="I84" s="57"/>
      <c r="J84" s="58"/>
      <c r="L84" s="57"/>
      <c r="N84" s="52"/>
    </row>
    <row r="85" spans="1:14" ht="17.25" customHeight="1" x14ac:dyDescent="0.25">
      <c r="A85" s="62" t="s">
        <v>685</v>
      </c>
      <c r="B85" s="83" t="s">
        <v>570</v>
      </c>
      <c r="C85" s="60">
        <v>2022</v>
      </c>
      <c r="D85" s="60">
        <v>0.4</v>
      </c>
      <c r="E85" s="45">
        <v>448</v>
      </c>
      <c r="F85" s="60">
        <v>30</v>
      </c>
      <c r="G85" s="59">
        <v>648024.41</v>
      </c>
      <c r="H85" s="143">
        <f t="shared" si="0"/>
        <v>648.02440999999999</v>
      </c>
      <c r="I85" s="57"/>
      <c r="J85" s="58"/>
      <c r="L85" s="57"/>
      <c r="N85" s="52"/>
    </row>
    <row r="86" spans="1:14" ht="17.25" customHeight="1" x14ac:dyDescent="0.25">
      <c r="A86" s="62" t="s">
        <v>685</v>
      </c>
      <c r="B86" s="83" t="s">
        <v>115</v>
      </c>
      <c r="C86" s="60">
        <v>2022</v>
      </c>
      <c r="D86" s="60">
        <v>0.4</v>
      </c>
      <c r="E86" s="45"/>
      <c r="F86" s="60"/>
      <c r="G86" s="59">
        <v>648024.41</v>
      </c>
      <c r="H86" s="143">
        <f t="shared" si="0"/>
        <v>648.02440999999999</v>
      </c>
      <c r="I86" s="57"/>
      <c r="J86" s="58"/>
      <c r="L86" s="57"/>
      <c r="N86" s="52"/>
    </row>
    <row r="87" spans="1:14" ht="17.25" customHeight="1" x14ac:dyDescent="0.25">
      <c r="A87" s="62" t="s">
        <v>563</v>
      </c>
      <c r="B87" s="83" t="s">
        <v>114</v>
      </c>
      <c r="C87" s="60">
        <v>2022</v>
      </c>
      <c r="D87" s="45">
        <v>0.4</v>
      </c>
      <c r="E87" s="45">
        <v>123</v>
      </c>
      <c r="F87" s="60">
        <v>15</v>
      </c>
      <c r="G87" s="59">
        <v>56564.9</v>
      </c>
      <c r="H87" s="143">
        <f t="shared" si="0"/>
        <v>56.564900000000002</v>
      </c>
      <c r="I87" s="57"/>
      <c r="J87" s="58"/>
      <c r="L87" s="57"/>
      <c r="N87" s="52"/>
    </row>
    <row r="88" spans="1:14" ht="17.25" customHeight="1" x14ac:dyDescent="0.25">
      <c r="A88" s="62" t="s">
        <v>563</v>
      </c>
      <c r="B88" s="83" t="s">
        <v>113</v>
      </c>
      <c r="C88" s="60">
        <v>2022</v>
      </c>
      <c r="D88" s="45">
        <v>0.4</v>
      </c>
      <c r="E88" s="45">
        <v>46</v>
      </c>
      <c r="F88" s="60">
        <v>15</v>
      </c>
      <c r="G88" s="59">
        <v>8479.7000000000007</v>
      </c>
      <c r="H88" s="143">
        <f t="shared" si="0"/>
        <v>8.4797000000000011</v>
      </c>
      <c r="I88" s="57"/>
      <c r="J88" s="58"/>
      <c r="L88" s="57"/>
      <c r="N88" s="52"/>
    </row>
    <row r="89" spans="1:14" ht="17.25" customHeight="1" x14ac:dyDescent="0.25">
      <c r="A89" s="62" t="s">
        <v>564</v>
      </c>
      <c r="B89" s="83" t="s">
        <v>112</v>
      </c>
      <c r="C89" s="60">
        <v>2022</v>
      </c>
      <c r="D89" s="45">
        <v>0.4</v>
      </c>
      <c r="E89" s="45">
        <v>371</v>
      </c>
      <c r="F89" s="60">
        <v>15</v>
      </c>
      <c r="G89" s="59">
        <v>581237.9</v>
      </c>
      <c r="H89" s="143">
        <f t="shared" si="0"/>
        <v>581.23789999999997</v>
      </c>
      <c r="I89" s="57"/>
      <c r="J89" s="58"/>
      <c r="L89" s="57"/>
      <c r="N89" s="52"/>
    </row>
    <row r="90" spans="1:14" ht="17.25" customHeight="1" x14ac:dyDescent="0.25">
      <c r="A90" s="62" t="s">
        <v>563</v>
      </c>
      <c r="B90" s="83" t="s">
        <v>569</v>
      </c>
      <c r="C90" s="60">
        <v>2022</v>
      </c>
      <c r="D90" s="45">
        <v>0.4</v>
      </c>
      <c r="E90" s="45">
        <v>42</v>
      </c>
      <c r="F90" s="60">
        <v>30</v>
      </c>
      <c r="G90" s="59">
        <v>45409.845000000001</v>
      </c>
      <c r="H90" s="143">
        <f t="shared" si="0"/>
        <v>45.409845000000004</v>
      </c>
      <c r="I90" s="57"/>
      <c r="J90" s="58"/>
      <c r="L90" s="57"/>
      <c r="N90" s="52"/>
    </row>
    <row r="91" spans="1:14" ht="17.25" customHeight="1" x14ac:dyDescent="0.25">
      <c r="A91" s="62" t="s">
        <v>563</v>
      </c>
      <c r="B91" s="83" t="s">
        <v>569</v>
      </c>
      <c r="C91" s="60">
        <v>2022</v>
      </c>
      <c r="D91" s="45">
        <v>0.4</v>
      </c>
      <c r="E91" s="45"/>
      <c r="F91" s="60"/>
      <c r="G91" s="59">
        <v>45409.845000000001</v>
      </c>
      <c r="H91" s="143">
        <f t="shared" si="0"/>
        <v>45.409845000000004</v>
      </c>
      <c r="I91" s="57"/>
      <c r="J91" s="58"/>
      <c r="L91" s="57"/>
      <c r="N91" s="52"/>
    </row>
    <row r="92" spans="1:14" ht="17.25" customHeight="1" x14ac:dyDescent="0.25">
      <c r="A92" s="62" t="s">
        <v>563</v>
      </c>
      <c r="B92" s="83" t="s">
        <v>111</v>
      </c>
      <c r="C92" s="60">
        <v>2022</v>
      </c>
      <c r="D92" s="45">
        <v>0.4</v>
      </c>
      <c r="E92" s="45">
        <v>56</v>
      </c>
      <c r="F92" s="60">
        <v>15</v>
      </c>
      <c r="G92" s="59">
        <v>11063.03</v>
      </c>
      <c r="H92" s="143">
        <f t="shared" si="0"/>
        <v>11.063030000000001</v>
      </c>
      <c r="I92" s="57"/>
      <c r="J92" s="58"/>
      <c r="L92" s="57"/>
      <c r="N92" s="52"/>
    </row>
    <row r="93" spans="1:14" ht="17.25" customHeight="1" x14ac:dyDescent="0.25">
      <c r="A93" s="62" t="s">
        <v>563</v>
      </c>
      <c r="B93" s="83" t="s">
        <v>110</v>
      </c>
      <c r="C93" s="60">
        <v>2022</v>
      </c>
      <c r="D93" s="45">
        <v>0.4</v>
      </c>
      <c r="E93" s="45">
        <v>147</v>
      </c>
      <c r="F93" s="60">
        <v>15</v>
      </c>
      <c r="G93" s="59">
        <v>258786.11000000002</v>
      </c>
      <c r="H93" s="143">
        <f t="shared" si="0"/>
        <v>258.78611000000001</v>
      </c>
      <c r="I93" s="57"/>
      <c r="J93" s="58"/>
      <c r="L93" s="57"/>
      <c r="N93" s="52"/>
    </row>
    <row r="94" spans="1:14" ht="17.25" customHeight="1" x14ac:dyDescent="0.25">
      <c r="A94" s="62" t="s">
        <v>563</v>
      </c>
      <c r="B94" s="83" t="s">
        <v>109</v>
      </c>
      <c r="C94" s="60">
        <v>2022</v>
      </c>
      <c r="D94" s="45">
        <v>0.4</v>
      </c>
      <c r="E94" s="45">
        <v>100</v>
      </c>
      <c r="F94" s="60">
        <v>15</v>
      </c>
      <c r="G94" s="59">
        <v>22182</v>
      </c>
      <c r="H94" s="143">
        <f t="shared" si="0"/>
        <v>22.181999999999999</v>
      </c>
      <c r="I94" s="57"/>
      <c r="J94" s="58"/>
      <c r="L94" s="57"/>
      <c r="N94" s="52"/>
    </row>
    <row r="95" spans="1:14" ht="17.25" customHeight="1" x14ac:dyDescent="0.25">
      <c r="A95" s="62" t="s">
        <v>563</v>
      </c>
      <c r="B95" s="83" t="s">
        <v>394</v>
      </c>
      <c r="C95" s="60">
        <v>2022</v>
      </c>
      <c r="D95" s="60">
        <v>0.4</v>
      </c>
      <c r="E95" s="60">
        <v>57.5</v>
      </c>
      <c r="F95" s="60">
        <v>5</v>
      </c>
      <c r="G95" s="59">
        <v>124840.19</v>
      </c>
      <c r="H95" s="143">
        <f t="shared" si="0"/>
        <v>124.84019000000001</v>
      </c>
      <c r="I95" s="57"/>
      <c r="J95" s="58"/>
      <c r="L95" s="57"/>
      <c r="N95" s="52"/>
    </row>
    <row r="96" spans="1:14" ht="17.25" customHeight="1" x14ac:dyDescent="0.25">
      <c r="A96" s="62" t="s">
        <v>563</v>
      </c>
      <c r="B96" s="83" t="s">
        <v>568</v>
      </c>
      <c r="C96" s="60">
        <v>2022</v>
      </c>
      <c r="D96" s="60">
        <v>0.4</v>
      </c>
      <c r="E96" s="60">
        <v>104</v>
      </c>
      <c r="F96" s="60">
        <v>30</v>
      </c>
      <c r="G96" s="59">
        <v>35048.221666666665</v>
      </c>
      <c r="H96" s="143">
        <f t="shared" si="0"/>
        <v>35.048221666666663</v>
      </c>
      <c r="I96" s="57"/>
      <c r="J96" s="58"/>
      <c r="L96" s="57"/>
      <c r="N96" s="52"/>
    </row>
    <row r="97" spans="1:14" ht="17.25" customHeight="1" x14ac:dyDescent="0.25">
      <c r="A97" s="62" t="s">
        <v>563</v>
      </c>
      <c r="B97" s="83" t="s">
        <v>568</v>
      </c>
      <c r="C97" s="60">
        <v>2022</v>
      </c>
      <c r="D97" s="60">
        <v>0.4</v>
      </c>
      <c r="E97" s="60"/>
      <c r="F97" s="60"/>
      <c r="G97" s="59">
        <v>35048.221666666665</v>
      </c>
      <c r="H97" s="143">
        <f t="shared" si="0"/>
        <v>35.048221666666663</v>
      </c>
      <c r="I97" s="57"/>
      <c r="J97" s="58"/>
      <c r="L97" s="57"/>
      <c r="N97" s="52"/>
    </row>
    <row r="98" spans="1:14" ht="17.25" customHeight="1" x14ac:dyDescent="0.25">
      <c r="A98" s="62" t="s">
        <v>563</v>
      </c>
      <c r="B98" s="83" t="s">
        <v>568</v>
      </c>
      <c r="C98" s="60">
        <v>2022</v>
      </c>
      <c r="D98" s="60">
        <v>0.4</v>
      </c>
      <c r="E98" s="60"/>
      <c r="F98" s="60"/>
      <c r="G98" s="59">
        <v>35048.221666666665</v>
      </c>
      <c r="H98" s="143">
        <f t="shared" si="0"/>
        <v>35.048221666666663</v>
      </c>
      <c r="I98" s="57"/>
      <c r="J98" s="58"/>
      <c r="L98" s="57"/>
      <c r="N98" s="52"/>
    </row>
    <row r="99" spans="1:14" ht="17.25" customHeight="1" x14ac:dyDescent="0.25">
      <c r="A99" s="62" t="s">
        <v>563</v>
      </c>
      <c r="B99" s="83" t="s">
        <v>568</v>
      </c>
      <c r="C99" s="60">
        <v>2022</v>
      </c>
      <c r="D99" s="60">
        <v>0.4</v>
      </c>
      <c r="E99" s="60"/>
      <c r="F99" s="60"/>
      <c r="G99" s="59">
        <v>35048.221666666665</v>
      </c>
      <c r="H99" s="143">
        <f t="shared" si="0"/>
        <v>35.048221666666663</v>
      </c>
      <c r="I99" s="57"/>
      <c r="J99" s="58"/>
      <c r="L99" s="57"/>
      <c r="N99" s="52"/>
    </row>
    <row r="100" spans="1:14" ht="17.25" customHeight="1" x14ac:dyDescent="0.25">
      <c r="A100" s="62" t="s">
        <v>563</v>
      </c>
      <c r="B100" s="83" t="s">
        <v>568</v>
      </c>
      <c r="C100" s="60">
        <v>2022</v>
      </c>
      <c r="D100" s="60">
        <v>0.4</v>
      </c>
      <c r="E100" s="60"/>
      <c r="F100" s="60"/>
      <c r="G100" s="59">
        <v>35048.221666666665</v>
      </c>
      <c r="H100" s="143">
        <f t="shared" si="0"/>
        <v>35.048221666666663</v>
      </c>
      <c r="I100" s="57"/>
      <c r="J100" s="58"/>
      <c r="L100" s="57"/>
      <c r="N100" s="52"/>
    </row>
    <row r="101" spans="1:14" ht="17.25" customHeight="1" x14ac:dyDescent="0.25">
      <c r="A101" s="62" t="s">
        <v>563</v>
      </c>
      <c r="B101" s="83" t="s">
        <v>568</v>
      </c>
      <c r="C101" s="60">
        <v>2022</v>
      </c>
      <c r="D101" s="60">
        <v>0.4</v>
      </c>
      <c r="E101" s="60"/>
      <c r="F101" s="60"/>
      <c r="G101" s="59">
        <v>35048.221666666665</v>
      </c>
      <c r="H101" s="143">
        <f t="shared" si="0"/>
        <v>35.048221666666663</v>
      </c>
      <c r="I101" s="57"/>
      <c r="J101" s="58"/>
      <c r="L101" s="57"/>
      <c r="N101" s="52"/>
    </row>
    <row r="102" spans="1:14" ht="17.25" customHeight="1" x14ac:dyDescent="0.25">
      <c r="A102" s="62" t="s">
        <v>563</v>
      </c>
      <c r="B102" s="83" t="s">
        <v>108</v>
      </c>
      <c r="C102" s="60">
        <v>2022</v>
      </c>
      <c r="D102" s="60">
        <v>0.4</v>
      </c>
      <c r="E102" s="60">
        <v>79</v>
      </c>
      <c r="F102" s="60">
        <v>15</v>
      </c>
      <c r="G102" s="59">
        <v>145108.55000000002</v>
      </c>
      <c r="H102" s="143">
        <f t="shared" si="0"/>
        <v>145.10855000000001</v>
      </c>
      <c r="I102" s="57"/>
      <c r="J102" s="58"/>
      <c r="L102" s="57"/>
      <c r="N102" s="52"/>
    </row>
    <row r="103" spans="1:14" ht="17.25" customHeight="1" x14ac:dyDescent="0.25">
      <c r="A103" s="62" t="s">
        <v>564</v>
      </c>
      <c r="B103" s="83" t="s">
        <v>107</v>
      </c>
      <c r="C103" s="60">
        <v>2022</v>
      </c>
      <c r="D103" s="60">
        <v>0.4</v>
      </c>
      <c r="E103" s="60">
        <v>552</v>
      </c>
      <c r="F103" s="60">
        <v>60</v>
      </c>
      <c r="G103" s="59">
        <v>154344.42249999999</v>
      </c>
      <c r="H103" s="143">
        <f t="shared" si="0"/>
        <v>154.34442249999998</v>
      </c>
      <c r="I103" s="57"/>
      <c r="J103" s="58"/>
      <c r="L103" s="57"/>
      <c r="N103" s="52"/>
    </row>
    <row r="104" spans="1:14" ht="17.25" customHeight="1" x14ac:dyDescent="0.25">
      <c r="A104" s="62" t="s">
        <v>564</v>
      </c>
      <c r="B104" s="83" t="s">
        <v>106</v>
      </c>
      <c r="C104" s="60">
        <v>2022</v>
      </c>
      <c r="D104" s="60">
        <v>0.4</v>
      </c>
      <c r="E104" s="60"/>
      <c r="F104" s="60"/>
      <c r="G104" s="59">
        <v>154344.42249999999</v>
      </c>
      <c r="H104" s="143">
        <f t="shared" si="0"/>
        <v>154.34442249999998</v>
      </c>
      <c r="I104" s="57"/>
      <c r="J104" s="58"/>
      <c r="L104" s="57"/>
      <c r="N104" s="52"/>
    </row>
    <row r="105" spans="1:14" ht="17.25" customHeight="1" x14ac:dyDescent="0.25">
      <c r="A105" s="62" t="s">
        <v>564</v>
      </c>
      <c r="B105" s="83" t="s">
        <v>105</v>
      </c>
      <c r="C105" s="60">
        <v>2022</v>
      </c>
      <c r="D105" s="60">
        <v>0.4</v>
      </c>
      <c r="E105" s="60"/>
      <c r="F105" s="60"/>
      <c r="G105" s="59">
        <v>154344.42249999999</v>
      </c>
      <c r="H105" s="143">
        <f t="shared" si="0"/>
        <v>154.34442249999998</v>
      </c>
      <c r="I105" s="57"/>
      <c r="J105" s="58"/>
      <c r="L105" s="57"/>
      <c r="N105" s="52"/>
    </row>
    <row r="106" spans="1:14" ht="17.25" customHeight="1" x14ac:dyDescent="0.25">
      <c r="A106" s="62" t="s">
        <v>564</v>
      </c>
      <c r="B106" s="83" t="s">
        <v>104</v>
      </c>
      <c r="C106" s="60">
        <v>2022</v>
      </c>
      <c r="D106" s="60">
        <v>0.4</v>
      </c>
      <c r="E106" s="60"/>
      <c r="F106" s="60"/>
      <c r="G106" s="59">
        <v>154344.42249999999</v>
      </c>
      <c r="H106" s="143">
        <f t="shared" si="0"/>
        <v>154.34442249999998</v>
      </c>
      <c r="I106" s="57"/>
      <c r="J106" s="58"/>
      <c r="L106" s="57"/>
      <c r="N106" s="52"/>
    </row>
    <row r="107" spans="1:14" ht="17.25" customHeight="1" x14ac:dyDescent="0.25">
      <c r="A107" s="84" t="s">
        <v>563</v>
      </c>
      <c r="B107" s="83" t="s">
        <v>103</v>
      </c>
      <c r="C107" s="45">
        <v>2022</v>
      </c>
      <c r="D107" s="45">
        <v>0.4</v>
      </c>
      <c r="E107" s="45">
        <v>45</v>
      </c>
      <c r="F107" s="45">
        <v>15</v>
      </c>
      <c r="G107" s="53">
        <v>28080.620000000003</v>
      </c>
      <c r="H107" s="143">
        <f t="shared" si="0"/>
        <v>28.080620000000003</v>
      </c>
      <c r="I107" s="57"/>
      <c r="J107" s="58"/>
      <c r="L107" s="57"/>
      <c r="N107" s="52"/>
    </row>
    <row r="108" spans="1:14" ht="17.25" customHeight="1" x14ac:dyDescent="0.25">
      <c r="A108" s="84" t="s">
        <v>564</v>
      </c>
      <c r="B108" s="83" t="s">
        <v>102</v>
      </c>
      <c r="C108" s="45">
        <v>2022</v>
      </c>
      <c r="D108" s="45">
        <v>0.4</v>
      </c>
      <c r="E108" s="45">
        <v>95</v>
      </c>
      <c r="F108" s="45">
        <v>15</v>
      </c>
      <c r="G108" s="53">
        <v>36268.959999999999</v>
      </c>
      <c r="H108" s="143">
        <f t="shared" si="0"/>
        <v>36.26896</v>
      </c>
      <c r="I108" s="57"/>
      <c r="J108" s="58"/>
      <c r="L108" s="57"/>
      <c r="N108" s="52"/>
    </row>
    <row r="109" spans="1:14" ht="17.25" customHeight="1" x14ac:dyDescent="0.25">
      <c r="A109" s="84" t="s">
        <v>563</v>
      </c>
      <c r="B109" s="83" t="s">
        <v>686</v>
      </c>
      <c r="C109" s="45">
        <v>2022</v>
      </c>
      <c r="D109" s="45">
        <v>0.4</v>
      </c>
      <c r="E109" s="45">
        <v>306</v>
      </c>
      <c r="F109" s="45">
        <v>8</v>
      </c>
      <c r="G109" s="53">
        <v>153314.13</v>
      </c>
      <c r="H109" s="143">
        <f t="shared" si="0"/>
        <v>153.31413000000001</v>
      </c>
      <c r="I109" s="57"/>
      <c r="J109" s="58"/>
      <c r="L109" s="57"/>
      <c r="N109" s="52"/>
    </row>
    <row r="110" spans="1:14" ht="17.25" customHeight="1" x14ac:dyDescent="0.25">
      <c r="A110" s="84" t="s">
        <v>564</v>
      </c>
      <c r="B110" s="83" t="s">
        <v>686</v>
      </c>
      <c r="C110" s="45">
        <v>2022</v>
      </c>
      <c r="D110" s="45">
        <v>6</v>
      </c>
      <c r="E110" s="45">
        <v>332</v>
      </c>
      <c r="F110" s="45">
        <v>376</v>
      </c>
      <c r="G110" s="53">
        <v>19300.729787234042</v>
      </c>
      <c r="H110" s="143">
        <f t="shared" si="0"/>
        <v>19.300729787234044</v>
      </c>
      <c r="I110" s="57"/>
      <c r="J110" s="58"/>
      <c r="L110" s="57"/>
      <c r="N110" s="52"/>
    </row>
    <row r="111" spans="1:14" ht="17.25" customHeight="1" x14ac:dyDescent="0.25">
      <c r="A111" s="84" t="s">
        <v>563</v>
      </c>
      <c r="B111" s="83" t="s">
        <v>101</v>
      </c>
      <c r="C111" s="45">
        <v>2022</v>
      </c>
      <c r="D111" s="45">
        <v>0.4</v>
      </c>
      <c r="E111" s="45"/>
      <c r="F111" s="45">
        <v>15</v>
      </c>
      <c r="G111" s="53">
        <v>8873.73</v>
      </c>
      <c r="H111" s="143">
        <f t="shared" si="0"/>
        <v>8.8737300000000001</v>
      </c>
      <c r="I111" s="57"/>
      <c r="J111" s="58"/>
      <c r="L111" s="57"/>
      <c r="N111" s="52"/>
    </row>
    <row r="112" spans="1:14" ht="17.25" customHeight="1" x14ac:dyDescent="0.25">
      <c r="A112" s="84" t="s">
        <v>564</v>
      </c>
      <c r="B112" s="83" t="s">
        <v>100</v>
      </c>
      <c r="C112" s="45">
        <v>2022</v>
      </c>
      <c r="D112" s="45">
        <v>0.4</v>
      </c>
      <c r="E112" s="45">
        <v>384</v>
      </c>
      <c r="F112" s="45">
        <v>60</v>
      </c>
      <c r="G112" s="53">
        <v>69661.22</v>
      </c>
      <c r="H112" s="143">
        <f t="shared" si="0"/>
        <v>69.66122</v>
      </c>
      <c r="I112" s="57"/>
      <c r="J112" s="58"/>
      <c r="L112" s="57"/>
      <c r="N112" s="52"/>
    </row>
    <row r="113" spans="1:14" ht="17.25" customHeight="1" x14ac:dyDescent="0.25">
      <c r="A113" s="62" t="s">
        <v>564</v>
      </c>
      <c r="B113" s="61" t="s">
        <v>99</v>
      </c>
      <c r="C113" s="60">
        <v>2022</v>
      </c>
      <c r="D113" s="60">
        <v>0.4</v>
      </c>
      <c r="E113" s="60"/>
      <c r="F113" s="60"/>
      <c r="G113" s="59">
        <v>69661.22</v>
      </c>
      <c r="H113" s="143">
        <f t="shared" si="0"/>
        <v>69.66122</v>
      </c>
      <c r="I113" s="57"/>
      <c r="J113" s="58"/>
      <c r="L113" s="57"/>
      <c r="N113" s="52"/>
    </row>
    <row r="114" spans="1:14" ht="17.25" customHeight="1" x14ac:dyDescent="0.25">
      <c r="A114" s="62" t="s">
        <v>564</v>
      </c>
      <c r="B114" s="61" t="s">
        <v>99</v>
      </c>
      <c r="C114" s="60">
        <v>2022</v>
      </c>
      <c r="D114" s="60">
        <v>0.4</v>
      </c>
      <c r="E114" s="60">
        <v>150</v>
      </c>
      <c r="F114" s="60">
        <v>15</v>
      </c>
      <c r="G114" s="59">
        <v>261861.41</v>
      </c>
      <c r="H114" s="143">
        <f t="shared" si="0"/>
        <v>261.86140999999998</v>
      </c>
      <c r="I114" s="57"/>
      <c r="J114" s="58"/>
      <c r="L114" s="57"/>
      <c r="N114" s="52"/>
    </row>
    <row r="115" spans="1:14" ht="17.25" customHeight="1" x14ac:dyDescent="0.25">
      <c r="A115" s="62" t="s">
        <v>563</v>
      </c>
      <c r="B115" s="61" t="s">
        <v>98</v>
      </c>
      <c r="C115" s="60">
        <v>2022</v>
      </c>
      <c r="D115" s="60">
        <v>0.4</v>
      </c>
      <c r="E115" s="60">
        <v>105</v>
      </c>
      <c r="F115" s="60">
        <v>30</v>
      </c>
      <c r="G115" s="59">
        <v>111149.30499999999</v>
      </c>
      <c r="H115" s="143">
        <f t="shared" si="0"/>
        <v>111.149305</v>
      </c>
      <c r="I115" s="57"/>
      <c r="J115" s="58"/>
      <c r="L115" s="57"/>
      <c r="N115" s="52"/>
    </row>
    <row r="116" spans="1:14" ht="17.25" customHeight="1" x14ac:dyDescent="0.25">
      <c r="A116" s="62" t="s">
        <v>563</v>
      </c>
      <c r="B116" s="61" t="s">
        <v>97</v>
      </c>
      <c r="C116" s="60">
        <v>2022</v>
      </c>
      <c r="D116" s="60">
        <v>0.4</v>
      </c>
      <c r="E116" s="60"/>
      <c r="F116" s="60"/>
      <c r="G116" s="59">
        <v>111149.30499999999</v>
      </c>
      <c r="H116" s="143">
        <f t="shared" si="0"/>
        <v>111.149305</v>
      </c>
      <c r="I116" s="57"/>
      <c r="J116" s="58"/>
      <c r="L116" s="57"/>
      <c r="N116" s="52"/>
    </row>
    <row r="117" spans="1:14" ht="17.25" customHeight="1" x14ac:dyDescent="0.25">
      <c r="A117" s="62" t="s">
        <v>564</v>
      </c>
      <c r="B117" s="61" t="s">
        <v>98</v>
      </c>
      <c r="C117" s="60">
        <v>2022</v>
      </c>
      <c r="D117" s="60">
        <v>10</v>
      </c>
      <c r="E117" s="60">
        <v>692</v>
      </c>
      <c r="F117" s="60">
        <v>93</v>
      </c>
      <c r="G117" s="59">
        <v>164163.44838709678</v>
      </c>
      <c r="H117" s="143">
        <f t="shared" si="0"/>
        <v>164.16344838709679</v>
      </c>
      <c r="I117" s="57"/>
      <c r="J117" s="58"/>
      <c r="L117" s="57"/>
      <c r="N117" s="52"/>
    </row>
    <row r="118" spans="1:14" ht="17.25" customHeight="1" x14ac:dyDescent="0.25">
      <c r="A118" s="62" t="s">
        <v>564</v>
      </c>
      <c r="B118" s="61" t="s">
        <v>97</v>
      </c>
      <c r="C118" s="60">
        <v>2022</v>
      </c>
      <c r="D118" s="60">
        <v>10</v>
      </c>
      <c r="E118" s="60"/>
      <c r="F118" s="60"/>
      <c r="G118" s="59">
        <v>164163.44838709678</v>
      </c>
      <c r="H118" s="143">
        <f t="shared" si="0"/>
        <v>164.16344838709679</v>
      </c>
      <c r="I118" s="57"/>
      <c r="J118" s="58"/>
      <c r="L118" s="57"/>
      <c r="N118" s="52"/>
    </row>
    <row r="119" spans="1:14" ht="17.25" customHeight="1" x14ac:dyDescent="0.25">
      <c r="A119" s="62" t="s">
        <v>563</v>
      </c>
      <c r="B119" s="61" t="s">
        <v>96</v>
      </c>
      <c r="C119" s="60">
        <v>2022</v>
      </c>
      <c r="D119" s="60">
        <v>0.4</v>
      </c>
      <c r="E119" s="60">
        <v>64</v>
      </c>
      <c r="F119" s="60">
        <v>15</v>
      </c>
      <c r="G119" s="59">
        <v>21712.240000000002</v>
      </c>
      <c r="H119" s="143">
        <f t="shared" si="0"/>
        <v>21.712240000000001</v>
      </c>
      <c r="I119" s="57"/>
      <c r="J119" s="58"/>
      <c r="L119" s="57"/>
      <c r="N119" s="52"/>
    </row>
    <row r="120" spans="1:14" ht="17.25" customHeight="1" x14ac:dyDescent="0.25">
      <c r="A120" s="62" t="s">
        <v>563</v>
      </c>
      <c r="B120" s="61" t="s">
        <v>95</v>
      </c>
      <c r="C120" s="60">
        <v>2022</v>
      </c>
      <c r="D120" s="60">
        <v>0.4</v>
      </c>
      <c r="E120" s="60">
        <v>47</v>
      </c>
      <c r="F120" s="60">
        <v>15</v>
      </c>
      <c r="G120" s="59">
        <v>17275.72</v>
      </c>
      <c r="H120" s="143">
        <f t="shared" si="0"/>
        <v>17.27572</v>
      </c>
      <c r="I120" s="57"/>
      <c r="J120" s="58"/>
      <c r="L120" s="57"/>
      <c r="N120" s="52"/>
    </row>
    <row r="121" spans="1:14" ht="17.25" customHeight="1" x14ac:dyDescent="0.25">
      <c r="A121" s="62" t="s">
        <v>564</v>
      </c>
      <c r="B121" s="61" t="s">
        <v>96</v>
      </c>
      <c r="C121" s="60">
        <v>2022</v>
      </c>
      <c r="D121" s="60">
        <v>0.4</v>
      </c>
      <c r="E121" s="60">
        <v>323</v>
      </c>
      <c r="F121" s="60">
        <v>185</v>
      </c>
      <c r="G121" s="59">
        <v>25961.51837837838</v>
      </c>
      <c r="H121" s="143">
        <f t="shared" si="0"/>
        <v>25.961518378378379</v>
      </c>
      <c r="I121" s="57"/>
      <c r="J121" s="58"/>
      <c r="L121" s="57"/>
      <c r="N121" s="52"/>
    </row>
    <row r="122" spans="1:14" ht="17.25" customHeight="1" x14ac:dyDescent="0.25">
      <c r="A122" s="62" t="s">
        <v>564</v>
      </c>
      <c r="B122" s="61" t="s">
        <v>95</v>
      </c>
      <c r="C122" s="60">
        <v>2022</v>
      </c>
      <c r="D122" s="60">
        <v>0.4</v>
      </c>
      <c r="E122" s="60"/>
      <c r="F122" s="60"/>
      <c r="G122" s="59">
        <v>25961.51837837838</v>
      </c>
      <c r="H122" s="143">
        <f t="shared" si="0"/>
        <v>25.961518378378379</v>
      </c>
      <c r="I122" s="57"/>
      <c r="J122" s="58"/>
      <c r="L122" s="57"/>
      <c r="N122" s="52"/>
    </row>
    <row r="123" spans="1:14" ht="17.25" customHeight="1" x14ac:dyDescent="0.25">
      <c r="A123" s="62" t="s">
        <v>564</v>
      </c>
      <c r="B123" s="61" t="s">
        <v>94</v>
      </c>
      <c r="C123" s="60">
        <v>2022</v>
      </c>
      <c r="D123" s="60">
        <v>0.4</v>
      </c>
      <c r="E123" s="60"/>
      <c r="F123" s="60"/>
      <c r="G123" s="59">
        <v>8653.8394594594592</v>
      </c>
      <c r="H123" s="143">
        <f t="shared" si="0"/>
        <v>8.6538394594594585</v>
      </c>
      <c r="I123" s="57"/>
      <c r="J123" s="58"/>
      <c r="L123" s="57"/>
      <c r="N123" s="52"/>
    </row>
    <row r="124" spans="1:14" ht="17.25" customHeight="1" x14ac:dyDescent="0.25">
      <c r="A124" s="62" t="s">
        <v>563</v>
      </c>
      <c r="B124" s="61" t="s">
        <v>96</v>
      </c>
      <c r="C124" s="60">
        <v>2022</v>
      </c>
      <c r="D124" s="60">
        <v>10</v>
      </c>
      <c r="E124" s="60">
        <v>303</v>
      </c>
      <c r="F124" s="60">
        <v>232.5</v>
      </c>
      <c r="G124" s="59">
        <v>50682.601935483865</v>
      </c>
      <c r="H124" s="143">
        <f t="shared" si="0"/>
        <v>50.682601935483866</v>
      </c>
      <c r="I124" s="57"/>
      <c r="J124" s="58"/>
      <c r="L124" s="57"/>
      <c r="N124" s="52"/>
    </row>
    <row r="125" spans="1:14" ht="17.25" customHeight="1" x14ac:dyDescent="0.25">
      <c r="A125" s="62" t="s">
        <v>563</v>
      </c>
      <c r="B125" s="61" t="s">
        <v>95</v>
      </c>
      <c r="C125" s="60">
        <v>2022</v>
      </c>
      <c r="D125" s="60">
        <v>10</v>
      </c>
      <c r="E125" s="60"/>
      <c r="F125" s="60"/>
      <c r="G125" s="59">
        <v>50682.601935483865</v>
      </c>
      <c r="H125" s="143">
        <f t="shared" si="0"/>
        <v>50.682601935483866</v>
      </c>
      <c r="I125" s="57"/>
      <c r="J125" s="58"/>
      <c r="L125" s="57"/>
      <c r="N125" s="52"/>
    </row>
    <row r="126" spans="1:14" ht="17.25" customHeight="1" x14ac:dyDescent="0.25">
      <c r="A126" s="62" t="s">
        <v>563</v>
      </c>
      <c r="B126" s="61" t="s">
        <v>94</v>
      </c>
      <c r="C126" s="60">
        <v>2022</v>
      </c>
      <c r="D126" s="60">
        <v>10</v>
      </c>
      <c r="E126" s="60"/>
      <c r="F126" s="60"/>
      <c r="G126" s="59">
        <v>16894.200645161287</v>
      </c>
      <c r="H126" s="143">
        <f t="shared" si="0"/>
        <v>16.894200645161288</v>
      </c>
      <c r="I126" s="57"/>
      <c r="J126" s="58"/>
      <c r="L126" s="57"/>
      <c r="N126" s="52"/>
    </row>
    <row r="127" spans="1:14" ht="17.25" customHeight="1" x14ac:dyDescent="0.25">
      <c r="A127" s="62" t="s">
        <v>707</v>
      </c>
      <c r="B127" s="61" t="s">
        <v>572</v>
      </c>
      <c r="C127" s="60">
        <v>2022</v>
      </c>
      <c r="D127" s="60">
        <v>0.4</v>
      </c>
      <c r="E127" s="60">
        <v>117</v>
      </c>
      <c r="F127" s="60">
        <v>80</v>
      </c>
      <c r="G127" s="59">
        <v>213610.79</v>
      </c>
      <c r="H127" s="143">
        <f>G127/1000</f>
        <v>213.61079000000001</v>
      </c>
      <c r="I127" s="57" t="s">
        <v>711</v>
      </c>
      <c r="J127" s="58"/>
      <c r="L127" s="57"/>
      <c r="N127" s="52"/>
    </row>
    <row r="128" spans="1:14" ht="17.25" customHeight="1" x14ac:dyDescent="0.25">
      <c r="A128" s="62" t="s">
        <v>707</v>
      </c>
      <c r="B128" s="61" t="s">
        <v>395</v>
      </c>
      <c r="C128" s="60">
        <v>2022</v>
      </c>
      <c r="D128" s="60">
        <v>0.4</v>
      </c>
      <c r="E128" s="60">
        <v>236</v>
      </c>
      <c r="F128" s="60">
        <v>100</v>
      </c>
      <c r="G128" s="59">
        <v>106854.12</v>
      </c>
      <c r="H128" s="143">
        <f t="shared" si="0"/>
        <v>106.85411999999999</v>
      </c>
      <c r="I128" s="57"/>
      <c r="J128" s="58"/>
      <c r="L128" s="57"/>
      <c r="N128" s="52"/>
    </row>
    <row r="129" spans="1:14" ht="17.25" customHeight="1" x14ac:dyDescent="0.25">
      <c r="A129" s="62" t="s">
        <v>707</v>
      </c>
      <c r="B129" s="61" t="s">
        <v>394</v>
      </c>
      <c r="C129" s="60">
        <v>2022</v>
      </c>
      <c r="D129" s="60">
        <v>0.4</v>
      </c>
      <c r="E129" s="60"/>
      <c r="F129" s="60"/>
      <c r="G129" s="59">
        <v>42741.647999999994</v>
      </c>
      <c r="H129" s="143">
        <f t="shared" si="0"/>
        <v>42.741647999999991</v>
      </c>
      <c r="I129" s="57"/>
      <c r="J129" s="58"/>
      <c r="L129" s="57"/>
      <c r="N129" s="52"/>
    </row>
    <row r="130" spans="1:14" ht="17.25" customHeight="1" x14ac:dyDescent="0.25">
      <c r="A130" s="62" t="s">
        <v>708</v>
      </c>
      <c r="B130" s="61" t="s">
        <v>394</v>
      </c>
      <c r="C130" s="60">
        <v>2022</v>
      </c>
      <c r="D130" s="60">
        <v>0.4</v>
      </c>
      <c r="E130" s="60">
        <v>85</v>
      </c>
      <c r="F130" s="60">
        <v>20</v>
      </c>
      <c r="G130" s="59">
        <v>51329.18</v>
      </c>
      <c r="H130" s="143">
        <f t="shared" si="0"/>
        <v>51.329180000000001</v>
      </c>
      <c r="I130" s="57"/>
      <c r="J130" s="58"/>
      <c r="L130" s="57"/>
      <c r="N130" s="52"/>
    </row>
    <row r="131" spans="1:14" ht="17.25" customHeight="1" x14ac:dyDescent="0.25">
      <c r="A131" s="62" t="s">
        <v>708</v>
      </c>
      <c r="B131" s="61" t="s">
        <v>389</v>
      </c>
      <c r="C131" s="60">
        <v>2022</v>
      </c>
      <c r="D131" s="60">
        <v>0.4</v>
      </c>
      <c r="E131" s="60">
        <v>142</v>
      </c>
      <c r="F131" s="60">
        <v>30</v>
      </c>
      <c r="G131" s="59">
        <v>200835.36</v>
      </c>
      <c r="H131" s="143">
        <f t="shared" si="0"/>
        <v>200.83535999999998</v>
      </c>
      <c r="I131" s="57"/>
      <c r="J131" s="58"/>
      <c r="L131" s="57"/>
      <c r="N131" s="52"/>
    </row>
    <row r="132" spans="1:14" ht="17.25" customHeight="1" x14ac:dyDescent="0.25">
      <c r="A132" s="62" t="s">
        <v>709</v>
      </c>
      <c r="B132" s="61" t="s">
        <v>492</v>
      </c>
      <c r="C132" s="60">
        <v>2022</v>
      </c>
      <c r="D132" s="60">
        <v>0.4</v>
      </c>
      <c r="E132" s="60">
        <v>101.5</v>
      </c>
      <c r="F132" s="60">
        <v>140</v>
      </c>
      <c r="G132" s="59">
        <v>93452.928571428565</v>
      </c>
      <c r="H132" s="143">
        <f t="shared" si="0"/>
        <v>93.452928571428572</v>
      </c>
      <c r="I132" s="57"/>
      <c r="J132" s="58"/>
      <c r="L132" s="57"/>
      <c r="N132" s="52"/>
    </row>
    <row r="133" spans="1:14" ht="17.25" customHeight="1" x14ac:dyDescent="0.25">
      <c r="A133" s="62" t="s">
        <v>709</v>
      </c>
      <c r="B133" s="61" t="s">
        <v>491</v>
      </c>
      <c r="C133" s="60">
        <v>2022</v>
      </c>
      <c r="D133" s="60">
        <v>0.4</v>
      </c>
      <c r="E133" s="60"/>
      <c r="F133" s="60"/>
      <c r="G133" s="59">
        <v>70089.69642857142</v>
      </c>
      <c r="H133" s="143">
        <f t="shared" si="0"/>
        <v>70.089696428571415</v>
      </c>
      <c r="I133" s="57"/>
      <c r="J133" s="58"/>
      <c r="L133" s="57"/>
      <c r="N133" s="52"/>
    </row>
    <row r="134" spans="1:14" ht="17.25" customHeight="1" x14ac:dyDescent="0.25">
      <c r="A134" s="62" t="s">
        <v>709</v>
      </c>
      <c r="B134" s="61" t="s">
        <v>490</v>
      </c>
      <c r="C134" s="60">
        <v>2022</v>
      </c>
      <c r="D134" s="60">
        <v>0.4</v>
      </c>
      <c r="E134" s="60"/>
      <c r="F134" s="60"/>
      <c r="G134" s="59">
        <v>93452.928571428565</v>
      </c>
      <c r="H134" s="143">
        <f t="shared" si="0"/>
        <v>93.452928571428572</v>
      </c>
      <c r="I134" s="57"/>
      <c r="J134" s="58"/>
      <c r="L134" s="57"/>
      <c r="N134" s="52"/>
    </row>
    <row r="135" spans="1:14" ht="17.25" customHeight="1" x14ac:dyDescent="0.25">
      <c r="A135" s="62" t="s">
        <v>709</v>
      </c>
      <c r="B135" s="61" t="s">
        <v>489</v>
      </c>
      <c r="C135" s="60">
        <v>2022</v>
      </c>
      <c r="D135" s="60">
        <v>0.4</v>
      </c>
      <c r="E135" s="60"/>
      <c r="F135" s="60"/>
      <c r="G135" s="59">
        <v>70089.69642857142</v>
      </c>
      <c r="H135" s="143">
        <f t="shared" si="0"/>
        <v>70.089696428571415</v>
      </c>
      <c r="I135" s="57"/>
      <c r="J135" s="58"/>
      <c r="L135" s="57"/>
      <c r="N135" s="52"/>
    </row>
    <row r="136" spans="1:14" ht="17.25" customHeight="1" x14ac:dyDescent="0.25">
      <c r="A136" s="62" t="s">
        <v>707</v>
      </c>
      <c r="B136" s="61" t="s">
        <v>567</v>
      </c>
      <c r="C136" s="60">
        <v>2022</v>
      </c>
      <c r="D136" s="60">
        <v>0.4</v>
      </c>
      <c r="E136" s="60">
        <v>145</v>
      </c>
      <c r="F136" s="60">
        <v>58</v>
      </c>
      <c r="G136" s="59">
        <v>144715.63</v>
      </c>
      <c r="H136" s="143">
        <f t="shared" ref="H136:H138" si="1">G136/1000</f>
        <v>144.71563</v>
      </c>
      <c r="I136" s="57"/>
      <c r="J136" s="58"/>
      <c r="L136" s="57"/>
      <c r="N136" s="52"/>
    </row>
    <row r="137" spans="1:14" ht="17.25" customHeight="1" x14ac:dyDescent="0.25">
      <c r="A137" s="62" t="s">
        <v>707</v>
      </c>
      <c r="B137" s="61" t="s">
        <v>387</v>
      </c>
      <c r="C137" s="60">
        <v>2022</v>
      </c>
      <c r="D137" s="60">
        <v>0.4</v>
      </c>
      <c r="E137" s="60">
        <v>221</v>
      </c>
      <c r="F137" s="60">
        <v>60</v>
      </c>
      <c r="G137" s="59">
        <v>198187.6</v>
      </c>
      <c r="H137" s="143">
        <f t="shared" si="1"/>
        <v>198.1876</v>
      </c>
      <c r="I137" s="57"/>
      <c r="J137" s="58"/>
      <c r="L137" s="57"/>
      <c r="N137" s="52"/>
    </row>
    <row r="138" spans="1:14" ht="17.25" customHeight="1" x14ac:dyDescent="0.25">
      <c r="A138" s="62" t="s">
        <v>707</v>
      </c>
      <c r="B138" s="61" t="s">
        <v>350</v>
      </c>
      <c r="C138" s="60">
        <v>2022</v>
      </c>
      <c r="D138" s="60">
        <v>0.4</v>
      </c>
      <c r="E138" s="60">
        <v>101</v>
      </c>
      <c r="F138" s="60">
        <v>125</v>
      </c>
      <c r="G138" s="59">
        <v>105750.03</v>
      </c>
      <c r="H138" s="143">
        <f t="shared" si="1"/>
        <v>105.75003</v>
      </c>
      <c r="I138" s="57"/>
      <c r="J138" s="58"/>
      <c r="L138" s="57"/>
      <c r="N138" s="52"/>
    </row>
    <row r="139" spans="1:14" ht="17.25" customHeight="1" x14ac:dyDescent="0.25">
      <c r="A139" s="62" t="s">
        <v>708</v>
      </c>
      <c r="B139" s="61" t="s">
        <v>350</v>
      </c>
      <c r="C139" s="60">
        <v>2022</v>
      </c>
      <c r="D139" s="60">
        <v>6</v>
      </c>
      <c r="E139" s="60">
        <v>10</v>
      </c>
      <c r="F139" s="60">
        <v>150.39999999999998</v>
      </c>
      <c r="G139" s="59">
        <v>67156.258311170226</v>
      </c>
      <c r="H139" s="143">
        <f>G139/1000</f>
        <v>67.15625831117022</v>
      </c>
      <c r="I139" s="57"/>
      <c r="J139" s="58"/>
      <c r="L139" s="57"/>
      <c r="N139" s="52"/>
    </row>
    <row r="140" spans="1:14" ht="17.25" customHeight="1" x14ac:dyDescent="0.25">
      <c r="A140" s="62" t="s">
        <v>707</v>
      </c>
      <c r="B140" s="61" t="s">
        <v>566</v>
      </c>
      <c r="C140" s="60">
        <v>2022</v>
      </c>
      <c r="D140" s="60">
        <v>0.4</v>
      </c>
      <c r="E140" s="60">
        <v>240</v>
      </c>
      <c r="F140" s="60">
        <v>50</v>
      </c>
      <c r="G140" s="59">
        <v>362134.58</v>
      </c>
      <c r="H140" s="143">
        <f t="shared" ref="H140:H150" si="2">G140/1000</f>
        <v>362.13458000000003</v>
      </c>
      <c r="I140" s="57"/>
      <c r="J140" s="58"/>
      <c r="L140" s="57"/>
      <c r="N140" s="52"/>
    </row>
    <row r="141" spans="1:14" ht="17.25" customHeight="1" x14ac:dyDescent="0.25">
      <c r="A141" s="62" t="s">
        <v>710</v>
      </c>
      <c r="B141" s="61" t="s">
        <v>348</v>
      </c>
      <c r="C141" s="60">
        <v>2022</v>
      </c>
      <c r="D141" s="60">
        <v>0.4</v>
      </c>
      <c r="E141" s="60">
        <v>93</v>
      </c>
      <c r="F141" s="60">
        <v>100</v>
      </c>
      <c r="G141" s="59">
        <v>230199.4</v>
      </c>
      <c r="H141" s="143">
        <f t="shared" si="2"/>
        <v>230.1994</v>
      </c>
      <c r="I141" s="57"/>
      <c r="J141" s="58"/>
      <c r="L141" s="57"/>
      <c r="N141" s="52"/>
    </row>
    <row r="142" spans="1:14" ht="17.25" customHeight="1" x14ac:dyDescent="0.25">
      <c r="A142" s="62" t="s">
        <v>707</v>
      </c>
      <c r="B142" s="61" t="s">
        <v>346</v>
      </c>
      <c r="C142" s="60">
        <v>2022</v>
      </c>
      <c r="D142" s="60">
        <v>0.4</v>
      </c>
      <c r="E142" s="60">
        <v>197</v>
      </c>
      <c r="F142" s="60">
        <v>50</v>
      </c>
      <c r="G142" s="59">
        <v>167429.85999999999</v>
      </c>
      <c r="H142" s="143">
        <f t="shared" si="2"/>
        <v>167.42985999999999</v>
      </c>
      <c r="I142" s="57"/>
      <c r="J142" s="58"/>
      <c r="L142" s="57"/>
      <c r="N142" s="52"/>
    </row>
    <row r="143" spans="1:14" ht="17.25" customHeight="1" x14ac:dyDescent="0.25">
      <c r="A143" s="62" t="s">
        <v>707</v>
      </c>
      <c r="B143" s="61" t="s">
        <v>346</v>
      </c>
      <c r="C143" s="60">
        <v>2022</v>
      </c>
      <c r="D143" s="60">
        <v>6</v>
      </c>
      <c r="E143" s="60">
        <v>336.66666666666669</v>
      </c>
      <c r="F143" s="60">
        <v>376</v>
      </c>
      <c r="G143" s="59">
        <v>120629.56117021276</v>
      </c>
      <c r="H143" s="143">
        <f t="shared" si="2"/>
        <v>120.62956117021277</v>
      </c>
      <c r="I143" s="57"/>
      <c r="J143" s="58"/>
      <c r="L143" s="57"/>
      <c r="N143" s="52"/>
    </row>
    <row r="144" spans="1:14" ht="17.25" customHeight="1" x14ac:dyDescent="0.25">
      <c r="A144" s="62" t="s">
        <v>707</v>
      </c>
      <c r="B144" s="61" t="s">
        <v>345</v>
      </c>
      <c r="C144" s="60">
        <v>2022</v>
      </c>
      <c r="D144" s="60">
        <v>6</v>
      </c>
      <c r="E144" s="60"/>
      <c r="F144" s="60"/>
      <c r="G144" s="59">
        <v>361888.68351063831</v>
      </c>
      <c r="H144" s="143">
        <f t="shared" si="2"/>
        <v>361.88868351063832</v>
      </c>
      <c r="I144" s="57"/>
      <c r="J144" s="58"/>
      <c r="L144" s="57"/>
      <c r="N144" s="52"/>
    </row>
    <row r="145" spans="1:20" ht="17.25" customHeight="1" x14ac:dyDescent="0.25">
      <c r="A145" s="62" t="s">
        <v>707</v>
      </c>
      <c r="B145" s="61" t="s">
        <v>344</v>
      </c>
      <c r="C145" s="60">
        <v>2022</v>
      </c>
      <c r="D145" s="60">
        <v>6</v>
      </c>
      <c r="E145" s="60"/>
      <c r="F145" s="60"/>
      <c r="G145" s="59">
        <v>361888.68351063831</v>
      </c>
      <c r="H145" s="143">
        <f t="shared" si="2"/>
        <v>361.88868351063832</v>
      </c>
      <c r="I145" s="57"/>
      <c r="J145" s="58"/>
      <c r="L145" s="57"/>
      <c r="N145" s="52"/>
    </row>
    <row r="146" spans="1:20" ht="17.25" customHeight="1" x14ac:dyDescent="0.25">
      <c r="A146" s="62" t="s">
        <v>708</v>
      </c>
      <c r="B146" s="61" t="s">
        <v>343</v>
      </c>
      <c r="C146" s="60">
        <v>2022</v>
      </c>
      <c r="D146" s="60">
        <v>0.4</v>
      </c>
      <c r="E146" s="60">
        <v>6</v>
      </c>
      <c r="F146" s="60">
        <v>65</v>
      </c>
      <c r="G146" s="59">
        <v>17137.41</v>
      </c>
      <c r="H146" s="143">
        <f t="shared" si="2"/>
        <v>17.137409999999999</v>
      </c>
      <c r="I146" s="57"/>
      <c r="J146" s="58"/>
      <c r="L146" s="57"/>
      <c r="N146" s="52"/>
    </row>
    <row r="147" spans="1:20" ht="17.25" customHeight="1" x14ac:dyDescent="0.25">
      <c r="A147" s="62" t="s">
        <v>708</v>
      </c>
      <c r="B147" s="61" t="s">
        <v>343</v>
      </c>
      <c r="C147" s="60">
        <v>2022</v>
      </c>
      <c r="D147" s="60">
        <v>6</v>
      </c>
      <c r="E147" s="60">
        <v>12</v>
      </c>
      <c r="F147" s="60">
        <v>94</v>
      </c>
      <c r="G147" s="59">
        <v>66392.424468085112</v>
      </c>
      <c r="H147" s="143">
        <f t="shared" si="2"/>
        <v>66.39242446808511</v>
      </c>
      <c r="I147" s="57"/>
      <c r="J147" s="58"/>
      <c r="L147" s="57"/>
      <c r="N147" s="52"/>
    </row>
    <row r="148" spans="1:20" ht="17.25" customHeight="1" x14ac:dyDescent="0.25">
      <c r="A148" s="62" t="s">
        <v>707</v>
      </c>
      <c r="B148" s="61" t="s">
        <v>342</v>
      </c>
      <c r="C148" s="60">
        <v>2022</v>
      </c>
      <c r="D148" s="60">
        <v>0.4</v>
      </c>
      <c r="E148" s="60">
        <v>654</v>
      </c>
      <c r="F148" s="60">
        <v>150</v>
      </c>
      <c r="G148" s="59">
        <v>862944.30378378381</v>
      </c>
      <c r="H148" s="143">
        <f t="shared" si="2"/>
        <v>862.94430378378377</v>
      </c>
      <c r="I148" s="57"/>
      <c r="J148" s="58"/>
      <c r="L148" s="57"/>
      <c r="N148" s="52"/>
    </row>
    <row r="149" spans="1:20" ht="17.25" customHeight="1" x14ac:dyDescent="0.25">
      <c r="A149" s="62" t="s">
        <v>708</v>
      </c>
      <c r="B149" s="61" t="s">
        <v>342</v>
      </c>
      <c r="C149" s="60">
        <v>2022</v>
      </c>
      <c r="D149" s="60">
        <v>10</v>
      </c>
      <c r="E149" s="60">
        <v>303</v>
      </c>
      <c r="F149" s="60">
        <v>232.5</v>
      </c>
      <c r="G149" s="59">
        <v>506826.01935483865</v>
      </c>
      <c r="H149" s="143">
        <f t="shared" si="2"/>
        <v>506.82601935483865</v>
      </c>
      <c r="I149" s="57"/>
      <c r="J149" s="58"/>
      <c r="L149" s="57"/>
      <c r="N149" s="52"/>
    </row>
    <row r="150" spans="1:20" ht="17.25" customHeight="1" x14ac:dyDescent="0.25">
      <c r="A150" s="62" t="s">
        <v>709</v>
      </c>
      <c r="B150" s="61" t="s">
        <v>340</v>
      </c>
      <c r="C150" s="60">
        <v>2022</v>
      </c>
      <c r="D150" s="60">
        <v>0.4</v>
      </c>
      <c r="E150" s="60">
        <v>200</v>
      </c>
      <c r="F150" s="60">
        <v>100</v>
      </c>
      <c r="G150" s="59">
        <v>470173.73</v>
      </c>
      <c r="H150" s="143">
        <f t="shared" si="2"/>
        <v>470.17372999999998</v>
      </c>
      <c r="I150" s="57"/>
      <c r="J150" s="58"/>
      <c r="L150" s="57"/>
      <c r="N150" s="52"/>
    </row>
    <row r="151" spans="1:20" ht="15.75" customHeight="1" x14ac:dyDescent="0.25">
      <c r="A151" s="35" t="s">
        <v>561</v>
      </c>
      <c r="B151" s="34" t="s">
        <v>560</v>
      </c>
      <c r="C151" s="33"/>
      <c r="D151" s="17"/>
      <c r="E151" s="33"/>
      <c r="F151" s="17"/>
      <c r="G151" s="32"/>
      <c r="H151" s="135"/>
      <c r="I151" s="52"/>
      <c r="J151" s="52"/>
    </row>
    <row r="152" spans="1:20" ht="70.5" customHeight="1" x14ac:dyDescent="0.25">
      <c r="A152" s="25" t="s">
        <v>559</v>
      </c>
      <c r="B152" s="29" t="s">
        <v>558</v>
      </c>
      <c r="C152" s="33"/>
      <c r="D152" s="17"/>
      <c r="E152" s="33"/>
      <c r="F152" s="17"/>
      <c r="G152" s="32"/>
      <c r="H152" s="135"/>
      <c r="I152" s="52"/>
      <c r="J152" s="52"/>
    </row>
    <row r="153" spans="1:20" ht="23.1" customHeight="1" x14ac:dyDescent="0.25">
      <c r="A153" s="25" t="s">
        <v>557</v>
      </c>
      <c r="B153" s="29" t="s">
        <v>556</v>
      </c>
      <c r="C153" s="33"/>
      <c r="D153" s="17"/>
      <c r="E153" s="33"/>
      <c r="F153" s="17"/>
      <c r="G153" s="32"/>
      <c r="H153" s="135"/>
      <c r="I153" s="52"/>
      <c r="J153" s="52"/>
    </row>
    <row r="154" spans="1:20" ht="39.950000000000003" customHeight="1" x14ac:dyDescent="0.25">
      <c r="A154" s="25" t="s">
        <v>555</v>
      </c>
      <c r="B154" s="29" t="s">
        <v>554</v>
      </c>
      <c r="C154" s="33"/>
      <c r="D154" s="17"/>
      <c r="E154" s="33"/>
      <c r="F154" s="17"/>
      <c r="G154" s="32"/>
      <c r="H154" s="135"/>
      <c r="I154" s="52"/>
      <c r="J154" s="52"/>
    </row>
    <row r="155" spans="1:20" ht="129.6" customHeight="1" x14ac:dyDescent="0.25">
      <c r="A155" s="25" t="s">
        <v>553</v>
      </c>
      <c r="B155" s="29" t="s">
        <v>552</v>
      </c>
      <c r="C155" s="13"/>
      <c r="D155" s="12"/>
      <c r="E155" s="13"/>
      <c r="F155" s="12"/>
      <c r="G155" s="11"/>
    </row>
    <row r="156" spans="1:20" s="30" customFormat="1" ht="53.1" customHeight="1" x14ac:dyDescent="0.25">
      <c r="A156" s="25" t="s">
        <v>551</v>
      </c>
      <c r="B156" s="29" t="s">
        <v>550</v>
      </c>
      <c r="C156" s="13"/>
      <c r="D156" s="12"/>
      <c r="E156" s="13"/>
      <c r="F156" s="12"/>
      <c r="G156" s="11"/>
      <c r="H156" s="2"/>
      <c r="T156" s="1"/>
    </row>
    <row r="157" spans="1:20" ht="16.5" customHeight="1" x14ac:dyDescent="0.25">
      <c r="A157" s="41" t="s">
        <v>526</v>
      </c>
      <c r="B157" s="44" t="s">
        <v>548</v>
      </c>
      <c r="C157" s="39">
        <v>2020</v>
      </c>
      <c r="D157" s="39">
        <v>0.4</v>
      </c>
      <c r="E157" s="39">
        <v>11</v>
      </c>
      <c r="F157" s="11">
        <v>15</v>
      </c>
      <c r="G157" s="50">
        <v>31.62</v>
      </c>
      <c r="H157" s="134"/>
      <c r="I157" s="1" t="s">
        <v>549</v>
      </c>
      <c r="J157" s="1">
        <v>66.10427</v>
      </c>
      <c r="K157" s="1">
        <v>2.8740986959999999</v>
      </c>
      <c r="L157" s="48"/>
    </row>
    <row r="158" spans="1:20" x14ac:dyDescent="0.25">
      <c r="A158" s="41" t="s">
        <v>487</v>
      </c>
      <c r="B158" s="44" t="s">
        <v>548</v>
      </c>
      <c r="C158" s="39">
        <v>2020</v>
      </c>
      <c r="D158" s="39">
        <v>0.4</v>
      </c>
      <c r="E158" s="39">
        <v>3</v>
      </c>
      <c r="F158" s="11">
        <v>15</v>
      </c>
      <c r="G158" s="50">
        <v>8.6199999999999992</v>
      </c>
      <c r="H158" s="134"/>
      <c r="J158" s="1">
        <v>23</v>
      </c>
      <c r="L158" s="48"/>
    </row>
    <row r="159" spans="1:20" x14ac:dyDescent="0.25">
      <c r="A159" s="41" t="s">
        <v>525</v>
      </c>
      <c r="B159" s="44" t="s">
        <v>473</v>
      </c>
      <c r="C159" s="39">
        <v>2020</v>
      </c>
      <c r="D159" s="39">
        <v>0.4</v>
      </c>
      <c r="E159" s="39">
        <v>9</v>
      </c>
      <c r="F159" s="11">
        <v>15</v>
      </c>
      <c r="G159" s="50">
        <v>25.87</v>
      </c>
      <c r="H159" s="134"/>
      <c r="L159" s="48"/>
    </row>
    <row r="160" spans="1:20" ht="17.25" customHeight="1" x14ac:dyDescent="0.25">
      <c r="A160" s="41" t="s">
        <v>547</v>
      </c>
      <c r="B160" s="44" t="s">
        <v>445</v>
      </c>
      <c r="C160" s="39">
        <v>2020</v>
      </c>
      <c r="D160" s="39">
        <v>0.4</v>
      </c>
      <c r="E160" s="39">
        <v>30</v>
      </c>
      <c r="F160" s="11">
        <v>5</v>
      </c>
      <c r="G160" s="50">
        <v>6.22</v>
      </c>
      <c r="H160" s="134"/>
      <c r="I160" s="1" t="s">
        <v>546</v>
      </c>
      <c r="L160" s="48"/>
    </row>
    <row r="161" spans="1:12" ht="15" customHeight="1" x14ac:dyDescent="0.25">
      <c r="A161" s="41" t="s">
        <v>544</v>
      </c>
      <c r="B161" s="44" t="s">
        <v>470</v>
      </c>
      <c r="C161" s="39">
        <v>2020</v>
      </c>
      <c r="D161" s="39">
        <v>0.4</v>
      </c>
      <c r="E161" s="39">
        <v>91</v>
      </c>
      <c r="F161" s="11">
        <v>5</v>
      </c>
      <c r="G161" s="50">
        <v>76.58</v>
      </c>
      <c r="H161" s="134"/>
      <c r="I161" s="1" t="s">
        <v>545</v>
      </c>
      <c r="L161" s="48"/>
    </row>
    <row r="162" spans="1:12" x14ac:dyDescent="0.25">
      <c r="A162" s="41" t="s">
        <v>544</v>
      </c>
      <c r="B162" s="44" t="s">
        <v>469</v>
      </c>
      <c r="C162" s="39">
        <v>2020</v>
      </c>
      <c r="D162" s="39">
        <v>0.4</v>
      </c>
      <c r="E162" s="39">
        <v>39</v>
      </c>
      <c r="F162" s="11">
        <v>5</v>
      </c>
      <c r="G162" s="50">
        <v>38.01</v>
      </c>
      <c r="H162" s="134"/>
      <c r="L162" s="48"/>
    </row>
    <row r="163" spans="1:12" x14ac:dyDescent="0.25">
      <c r="A163" s="41" t="s">
        <v>544</v>
      </c>
      <c r="B163" s="44" t="s">
        <v>468</v>
      </c>
      <c r="C163" s="39">
        <v>2020</v>
      </c>
      <c r="D163" s="39">
        <v>0.4</v>
      </c>
      <c r="E163" s="39">
        <v>112</v>
      </c>
      <c r="F163" s="11">
        <v>5</v>
      </c>
      <c r="G163" s="50">
        <v>93.12</v>
      </c>
      <c r="H163" s="134"/>
      <c r="L163" s="48"/>
    </row>
    <row r="164" spans="1:12" x14ac:dyDescent="0.25">
      <c r="A164" s="41" t="s">
        <v>544</v>
      </c>
      <c r="B164" s="44" t="s">
        <v>467</v>
      </c>
      <c r="C164" s="39">
        <v>2020</v>
      </c>
      <c r="D164" s="39">
        <v>0.4</v>
      </c>
      <c r="E164" s="39">
        <v>120</v>
      </c>
      <c r="F164" s="11">
        <v>5</v>
      </c>
      <c r="G164" s="50">
        <v>104.37</v>
      </c>
      <c r="H164" s="134"/>
      <c r="L164" s="48"/>
    </row>
    <row r="165" spans="1:12" x14ac:dyDescent="0.25">
      <c r="A165" s="41" t="s">
        <v>544</v>
      </c>
      <c r="B165" s="44" t="s">
        <v>466</v>
      </c>
      <c r="C165" s="39">
        <v>2020</v>
      </c>
      <c r="D165" s="39">
        <v>0.4</v>
      </c>
      <c r="E165" s="39">
        <v>165</v>
      </c>
      <c r="F165" s="11">
        <v>5</v>
      </c>
      <c r="G165" s="50">
        <v>111.06</v>
      </c>
      <c r="H165" s="134"/>
      <c r="L165" s="48"/>
    </row>
    <row r="166" spans="1:12" x14ac:dyDescent="0.25">
      <c r="A166" s="41" t="s">
        <v>543</v>
      </c>
      <c r="B166" s="44" t="s">
        <v>447</v>
      </c>
      <c r="C166" s="39">
        <v>2020</v>
      </c>
      <c r="D166" s="39">
        <v>0.4</v>
      </c>
      <c r="E166" s="39">
        <v>11</v>
      </c>
      <c r="F166" s="11">
        <v>15</v>
      </c>
      <c r="G166" s="50">
        <v>30.45</v>
      </c>
      <c r="H166" s="134"/>
      <c r="I166" s="1" t="s">
        <v>449</v>
      </c>
      <c r="J166" s="1">
        <v>69.207089999999994</v>
      </c>
      <c r="L166" s="48">
        <v>25</v>
      </c>
    </row>
    <row r="167" spans="1:12" x14ac:dyDescent="0.25">
      <c r="A167" s="41" t="s">
        <v>542</v>
      </c>
      <c r="B167" s="44" t="s">
        <v>447</v>
      </c>
      <c r="C167" s="39">
        <v>2020</v>
      </c>
      <c r="D167" s="39">
        <v>0.4</v>
      </c>
      <c r="E167" s="39">
        <v>3</v>
      </c>
      <c r="F167" s="11">
        <v>15</v>
      </c>
      <c r="G167" s="50">
        <v>8.3000000000000007</v>
      </c>
      <c r="H167" s="134"/>
      <c r="L167" s="48"/>
    </row>
    <row r="168" spans="1:12" x14ac:dyDescent="0.25">
      <c r="A168" s="41" t="s">
        <v>542</v>
      </c>
      <c r="B168" s="44" t="s">
        <v>447</v>
      </c>
      <c r="C168" s="39">
        <v>2020</v>
      </c>
      <c r="D168" s="39">
        <v>0.4</v>
      </c>
      <c r="E168" s="39">
        <v>3</v>
      </c>
      <c r="F168" s="11">
        <v>15</v>
      </c>
      <c r="G168" s="50">
        <v>8.3000000000000007</v>
      </c>
      <c r="H168" s="134"/>
      <c r="L168" s="48"/>
    </row>
    <row r="169" spans="1:12" x14ac:dyDescent="0.25">
      <c r="A169" s="41" t="s">
        <v>541</v>
      </c>
      <c r="B169" s="44" t="s">
        <v>447</v>
      </c>
      <c r="C169" s="39">
        <v>2020</v>
      </c>
      <c r="D169" s="39">
        <v>0.4</v>
      </c>
      <c r="E169" s="39">
        <v>8</v>
      </c>
      <c r="F169" s="11">
        <v>15</v>
      </c>
      <c r="G169" s="50">
        <v>22.15</v>
      </c>
      <c r="H169" s="134"/>
      <c r="L169" s="48"/>
    </row>
    <row r="170" spans="1:12" x14ac:dyDescent="0.25">
      <c r="A170" s="41" t="s">
        <v>482</v>
      </c>
      <c r="B170" s="44" t="s">
        <v>539</v>
      </c>
      <c r="C170" s="39">
        <v>2020</v>
      </c>
      <c r="D170" s="39">
        <v>0.4</v>
      </c>
      <c r="E170" s="39">
        <v>23</v>
      </c>
      <c r="F170" s="11">
        <v>40</v>
      </c>
      <c r="G170" s="50">
        <v>406.21</v>
      </c>
      <c r="H170" s="134"/>
      <c r="I170" s="1" t="s">
        <v>540</v>
      </c>
      <c r="J170" s="1">
        <v>558.59718999999996</v>
      </c>
      <c r="K170" s="1">
        <v>35</v>
      </c>
      <c r="L170" s="48"/>
    </row>
    <row r="171" spans="1:12" x14ac:dyDescent="0.25">
      <c r="A171" s="41" t="s">
        <v>493</v>
      </c>
      <c r="B171" s="44" t="s">
        <v>539</v>
      </c>
      <c r="C171" s="39">
        <v>2020</v>
      </c>
      <c r="D171" s="39">
        <v>0.4</v>
      </c>
      <c r="E171" s="39">
        <v>11</v>
      </c>
      <c r="F171" s="11">
        <v>40</v>
      </c>
      <c r="G171" s="50">
        <v>152.38999999999999</v>
      </c>
      <c r="H171" s="134"/>
      <c r="L171" s="48"/>
    </row>
    <row r="172" spans="1:12" x14ac:dyDescent="0.25">
      <c r="A172" s="41" t="s">
        <v>482</v>
      </c>
      <c r="B172" s="44" t="s">
        <v>538</v>
      </c>
      <c r="C172" s="39">
        <v>2020</v>
      </c>
      <c r="D172" s="39">
        <v>0.4</v>
      </c>
      <c r="E172" s="39">
        <v>92</v>
      </c>
      <c r="F172" s="11">
        <v>40</v>
      </c>
      <c r="G172" s="50">
        <v>798.14</v>
      </c>
      <c r="H172" s="134"/>
      <c r="J172" s="1">
        <v>1286.7293099999999</v>
      </c>
      <c r="K172" s="1">
        <v>216</v>
      </c>
      <c r="L172" s="48"/>
    </row>
    <row r="173" spans="1:12" x14ac:dyDescent="0.25">
      <c r="A173" s="41" t="s">
        <v>493</v>
      </c>
      <c r="B173" s="44" t="s">
        <v>538</v>
      </c>
      <c r="C173" s="39">
        <v>2020</v>
      </c>
      <c r="D173" s="39">
        <v>0.4</v>
      </c>
      <c r="E173" s="39">
        <v>21</v>
      </c>
      <c r="F173" s="11">
        <v>40</v>
      </c>
      <c r="G173" s="11">
        <v>82.75</v>
      </c>
      <c r="J173" s="1">
        <v>488.59</v>
      </c>
      <c r="K173" s="1">
        <v>124</v>
      </c>
      <c r="L173" s="48">
        <v>3.9402574189999999</v>
      </c>
    </row>
    <row r="174" spans="1:12" x14ac:dyDescent="0.25">
      <c r="A174" s="41" t="s">
        <v>536</v>
      </c>
      <c r="B174" s="44" t="s">
        <v>538</v>
      </c>
      <c r="C174" s="39">
        <v>2020</v>
      </c>
      <c r="D174" s="39">
        <v>0.4</v>
      </c>
      <c r="E174" s="39">
        <v>9</v>
      </c>
      <c r="F174" s="11">
        <v>40</v>
      </c>
      <c r="G174" s="11">
        <v>35.46</v>
      </c>
      <c r="L174" s="48"/>
    </row>
    <row r="175" spans="1:12" x14ac:dyDescent="0.25">
      <c r="A175" s="41" t="s">
        <v>483</v>
      </c>
      <c r="B175" s="44" t="s">
        <v>538</v>
      </c>
      <c r="C175" s="39">
        <v>2020</v>
      </c>
      <c r="D175" s="39">
        <v>0.4</v>
      </c>
      <c r="E175" s="39">
        <v>94</v>
      </c>
      <c r="F175" s="11">
        <v>40</v>
      </c>
      <c r="G175" s="11">
        <v>370.38</v>
      </c>
      <c r="L175" s="48"/>
    </row>
    <row r="176" spans="1:12" x14ac:dyDescent="0.25">
      <c r="A176" s="41" t="s">
        <v>482</v>
      </c>
      <c r="B176" s="44" t="s">
        <v>444</v>
      </c>
      <c r="C176" s="39">
        <v>2020</v>
      </c>
      <c r="D176" s="39">
        <v>0.4</v>
      </c>
      <c r="E176" s="39">
        <v>72</v>
      </c>
      <c r="F176" s="11">
        <v>95</v>
      </c>
      <c r="G176" s="11">
        <v>844.12</v>
      </c>
      <c r="I176" s="1" t="s">
        <v>537</v>
      </c>
      <c r="J176" s="1">
        <v>1473.3732399999999</v>
      </c>
      <c r="K176" s="1">
        <v>272</v>
      </c>
      <c r="L176" s="48"/>
    </row>
    <row r="177" spans="1:15" x14ac:dyDescent="0.25">
      <c r="A177" s="41" t="s">
        <v>483</v>
      </c>
      <c r="B177" s="44" t="s">
        <v>444</v>
      </c>
      <c r="C177" s="39">
        <v>2020</v>
      </c>
      <c r="D177" s="39">
        <v>0.4</v>
      </c>
      <c r="E177" s="39">
        <v>89</v>
      </c>
      <c r="F177" s="11">
        <v>95</v>
      </c>
      <c r="G177" s="11">
        <v>280.02</v>
      </c>
      <c r="J177" s="1">
        <v>629.25800000000004</v>
      </c>
      <c r="K177" s="1">
        <v>200</v>
      </c>
      <c r="L177" s="48">
        <v>3.14629</v>
      </c>
    </row>
    <row r="178" spans="1:15" x14ac:dyDescent="0.25">
      <c r="A178" s="41" t="s">
        <v>536</v>
      </c>
      <c r="B178" s="44" t="s">
        <v>444</v>
      </c>
      <c r="C178" s="39">
        <v>2020</v>
      </c>
      <c r="D178" s="39">
        <v>0.4</v>
      </c>
      <c r="E178" s="39">
        <v>98</v>
      </c>
      <c r="F178" s="11">
        <v>95</v>
      </c>
      <c r="G178" s="11">
        <v>308.33999999999997</v>
      </c>
      <c r="L178" s="48"/>
    </row>
    <row r="179" spans="1:15" x14ac:dyDescent="0.25">
      <c r="A179" s="41" t="s">
        <v>493</v>
      </c>
      <c r="B179" s="44" t="s">
        <v>444</v>
      </c>
      <c r="C179" s="39">
        <v>2020</v>
      </c>
      <c r="D179" s="39">
        <v>0.4</v>
      </c>
      <c r="E179" s="39">
        <v>13</v>
      </c>
      <c r="F179" s="11">
        <v>95</v>
      </c>
      <c r="G179" s="11">
        <v>40.9</v>
      </c>
      <c r="L179" s="48"/>
    </row>
    <row r="180" spans="1:15" ht="17.25" customHeight="1" x14ac:dyDescent="0.25">
      <c r="A180" s="41" t="s">
        <v>485</v>
      </c>
      <c r="B180" s="44" t="s">
        <v>442</v>
      </c>
      <c r="C180" s="39">
        <v>2020</v>
      </c>
      <c r="D180" s="39">
        <v>0.4</v>
      </c>
      <c r="E180" s="39">
        <v>68.099999999999994</v>
      </c>
      <c r="F180" s="11">
        <v>20</v>
      </c>
      <c r="G180" s="11">
        <v>92.73</v>
      </c>
      <c r="I180" s="1" t="s">
        <v>535</v>
      </c>
      <c r="J180" s="1">
        <v>119.96</v>
      </c>
      <c r="K180" s="1">
        <v>88.1</v>
      </c>
      <c r="L180" s="48"/>
    </row>
    <row r="181" spans="1:15" x14ac:dyDescent="0.25">
      <c r="A181" s="41" t="s">
        <v>526</v>
      </c>
      <c r="B181" s="44" t="s">
        <v>442</v>
      </c>
      <c r="C181" s="39">
        <v>2020</v>
      </c>
      <c r="D181" s="39">
        <v>0.4</v>
      </c>
      <c r="E181" s="39">
        <v>12</v>
      </c>
      <c r="F181" s="11">
        <v>20</v>
      </c>
      <c r="G181" s="11">
        <v>16.34</v>
      </c>
      <c r="J181" s="1">
        <v>1.36</v>
      </c>
      <c r="L181" s="48"/>
    </row>
    <row r="182" spans="1:15" x14ac:dyDescent="0.25">
      <c r="A182" s="41" t="s">
        <v>525</v>
      </c>
      <c r="B182" s="44" t="s">
        <v>442</v>
      </c>
      <c r="C182" s="39">
        <v>2020</v>
      </c>
      <c r="D182" s="39">
        <v>0.4</v>
      </c>
      <c r="E182" s="39">
        <v>8</v>
      </c>
      <c r="F182" s="11">
        <v>20</v>
      </c>
      <c r="G182" s="11">
        <v>10.89</v>
      </c>
      <c r="L182" s="48"/>
    </row>
    <row r="183" spans="1:15" x14ac:dyDescent="0.25">
      <c r="A183" s="41" t="s">
        <v>487</v>
      </c>
      <c r="B183" s="44" t="s">
        <v>534</v>
      </c>
      <c r="C183" s="39">
        <v>2020</v>
      </c>
      <c r="D183" s="39">
        <v>0.4</v>
      </c>
      <c r="E183" s="39">
        <v>220</v>
      </c>
      <c r="F183" s="11">
        <v>20</v>
      </c>
      <c r="G183" s="11">
        <v>382.48</v>
      </c>
      <c r="I183" s="1">
        <v>155</v>
      </c>
      <c r="J183" s="1">
        <v>521.56866000000002</v>
      </c>
      <c r="K183" s="1">
        <v>1.7385622000000001</v>
      </c>
      <c r="L183" s="48"/>
    </row>
    <row r="184" spans="1:15" x14ac:dyDescent="0.25">
      <c r="A184" s="41" t="s">
        <v>526</v>
      </c>
      <c r="B184" s="44" t="s">
        <v>534</v>
      </c>
      <c r="C184" s="39">
        <v>2020</v>
      </c>
      <c r="D184" s="39">
        <v>0.4</v>
      </c>
      <c r="E184" s="39">
        <v>68</v>
      </c>
      <c r="F184" s="11">
        <v>20</v>
      </c>
      <c r="G184" s="50">
        <v>118.22</v>
      </c>
      <c r="H184" s="134"/>
      <c r="K184" s="1">
        <v>300</v>
      </c>
      <c r="L184" s="48"/>
    </row>
    <row r="185" spans="1:15" x14ac:dyDescent="0.25">
      <c r="A185" s="41" t="s">
        <v>525</v>
      </c>
      <c r="B185" s="44" t="s">
        <v>534</v>
      </c>
      <c r="C185" s="39">
        <v>2020</v>
      </c>
      <c r="D185" s="39">
        <v>0.4</v>
      </c>
      <c r="E185" s="39">
        <v>12</v>
      </c>
      <c r="F185" s="11">
        <v>20</v>
      </c>
      <c r="G185" s="50">
        <v>20.86</v>
      </c>
      <c r="H185" s="134"/>
      <c r="L185" s="48"/>
    </row>
    <row r="186" spans="1:15" s="54" customFormat="1" x14ac:dyDescent="0.25">
      <c r="A186" s="41" t="s">
        <v>518</v>
      </c>
      <c r="B186" s="44" t="s">
        <v>532</v>
      </c>
      <c r="C186" s="39">
        <v>2020</v>
      </c>
      <c r="D186" s="38">
        <v>6</v>
      </c>
      <c r="E186" s="39">
        <v>67</v>
      </c>
      <c r="F186" s="11">
        <v>250</v>
      </c>
      <c r="G186" s="50">
        <v>198.91</v>
      </c>
      <c r="H186" s="134"/>
      <c r="J186" s="54">
        <v>91.385459999999995</v>
      </c>
      <c r="K186" s="54">
        <v>140</v>
      </c>
      <c r="L186" s="55"/>
      <c r="M186" s="56" t="s">
        <v>533</v>
      </c>
      <c r="N186" s="56"/>
      <c r="O186" s="56"/>
    </row>
    <row r="187" spans="1:15" s="54" customFormat="1" x14ac:dyDescent="0.25">
      <c r="A187" s="41" t="s">
        <v>519</v>
      </c>
      <c r="B187" s="44" t="s">
        <v>532</v>
      </c>
      <c r="C187" s="39">
        <v>2020</v>
      </c>
      <c r="D187" s="38">
        <v>6</v>
      </c>
      <c r="E187" s="39">
        <v>36</v>
      </c>
      <c r="F187" s="11">
        <v>250</v>
      </c>
      <c r="G187" s="50">
        <v>112.67</v>
      </c>
      <c r="H187" s="134"/>
      <c r="L187" s="55"/>
      <c r="M187" s="56"/>
      <c r="N187" s="56"/>
      <c r="O187" s="56"/>
    </row>
    <row r="188" spans="1:15" s="54" customFormat="1" x14ac:dyDescent="0.25">
      <c r="A188" s="41" t="s">
        <v>531</v>
      </c>
      <c r="B188" s="44" t="s">
        <v>532</v>
      </c>
      <c r="C188" s="39">
        <v>2020</v>
      </c>
      <c r="D188" s="38">
        <v>6</v>
      </c>
      <c r="E188" s="39">
        <v>15</v>
      </c>
      <c r="F188" s="11">
        <v>250</v>
      </c>
      <c r="G188" s="50">
        <v>37.770000000000003</v>
      </c>
      <c r="H188" s="134"/>
      <c r="L188" s="55"/>
      <c r="M188" s="56"/>
      <c r="N188" s="56"/>
      <c r="O188" s="56"/>
    </row>
    <row r="189" spans="1:15" s="54" customFormat="1" x14ac:dyDescent="0.25">
      <c r="A189" s="41" t="s">
        <v>520</v>
      </c>
      <c r="B189" s="44" t="s">
        <v>532</v>
      </c>
      <c r="C189" s="39">
        <v>2020</v>
      </c>
      <c r="D189" s="38">
        <v>6</v>
      </c>
      <c r="E189" s="39">
        <v>34</v>
      </c>
      <c r="F189" s="11">
        <v>250</v>
      </c>
      <c r="G189" s="50">
        <v>369.85</v>
      </c>
      <c r="H189" s="134"/>
      <c r="L189" s="55"/>
    </row>
    <row r="190" spans="1:15" x14ac:dyDescent="0.25">
      <c r="A190" s="41" t="s">
        <v>518</v>
      </c>
      <c r="B190" s="44" t="s">
        <v>530</v>
      </c>
      <c r="C190" s="39">
        <v>2020</v>
      </c>
      <c r="D190" s="38">
        <v>6</v>
      </c>
      <c r="E190" s="39">
        <v>27</v>
      </c>
      <c r="F190" s="11">
        <v>250</v>
      </c>
      <c r="G190" s="53">
        <v>78.98</v>
      </c>
      <c r="H190" s="140"/>
      <c r="I190" s="52">
        <v>1566.92</v>
      </c>
      <c r="K190" s="1">
        <v>341</v>
      </c>
      <c r="L190" s="48">
        <v>4.5950651320000002</v>
      </c>
    </row>
    <row r="191" spans="1:15" x14ac:dyDescent="0.25">
      <c r="A191" s="41" t="s">
        <v>519</v>
      </c>
      <c r="B191" s="44" t="s">
        <v>530</v>
      </c>
      <c r="C191" s="39">
        <v>2020</v>
      </c>
      <c r="D191" s="38">
        <v>6</v>
      </c>
      <c r="E191" s="39">
        <v>15</v>
      </c>
      <c r="F191" s="11">
        <v>250</v>
      </c>
      <c r="G191" s="51">
        <v>46.76</v>
      </c>
      <c r="H191" s="140"/>
      <c r="L191" s="48"/>
    </row>
    <row r="192" spans="1:15" x14ac:dyDescent="0.25">
      <c r="A192" s="41" t="s">
        <v>531</v>
      </c>
      <c r="B192" s="44" t="s">
        <v>530</v>
      </c>
      <c r="C192" s="39">
        <v>2020</v>
      </c>
      <c r="D192" s="38">
        <v>6</v>
      </c>
      <c r="E192" s="39">
        <v>15</v>
      </c>
      <c r="F192" s="11">
        <v>250</v>
      </c>
      <c r="G192" s="51">
        <v>37.770000000000003</v>
      </c>
      <c r="H192" s="140"/>
      <c r="L192" s="48"/>
    </row>
    <row r="193" spans="1:12" x14ac:dyDescent="0.25">
      <c r="A193" s="41" t="s">
        <v>520</v>
      </c>
      <c r="B193" s="44" t="s">
        <v>530</v>
      </c>
      <c r="C193" s="39">
        <v>2020</v>
      </c>
      <c r="D193" s="38">
        <v>6</v>
      </c>
      <c r="E193" s="39">
        <v>104</v>
      </c>
      <c r="F193" s="11">
        <v>250</v>
      </c>
      <c r="G193" s="51">
        <v>1313.64</v>
      </c>
      <c r="H193" s="140"/>
      <c r="L193" s="48"/>
    </row>
    <row r="194" spans="1:12" x14ac:dyDescent="0.25">
      <c r="A194" s="41" t="s">
        <v>483</v>
      </c>
      <c r="B194" s="44" t="s">
        <v>528</v>
      </c>
      <c r="C194" s="39">
        <v>2020</v>
      </c>
      <c r="D194" s="38">
        <v>0.4</v>
      </c>
      <c r="E194" s="39">
        <v>67</v>
      </c>
      <c r="F194" s="11">
        <v>80</v>
      </c>
      <c r="G194" s="51">
        <v>129.59</v>
      </c>
      <c r="H194" s="140"/>
      <c r="L194" s="48"/>
    </row>
    <row r="195" spans="1:12" x14ac:dyDescent="0.25">
      <c r="A195" s="41" t="s">
        <v>493</v>
      </c>
      <c r="B195" s="44" t="s">
        <v>528</v>
      </c>
      <c r="C195" s="39">
        <v>2020</v>
      </c>
      <c r="D195" s="38">
        <v>0.4</v>
      </c>
      <c r="E195" s="39">
        <v>38</v>
      </c>
      <c r="F195" s="11">
        <v>80</v>
      </c>
      <c r="G195" s="51">
        <v>80.650000000000006</v>
      </c>
      <c r="H195" s="140"/>
      <c r="J195" s="1">
        <v>2931.2426999999998</v>
      </c>
      <c r="K195" s="1">
        <v>479</v>
      </c>
      <c r="L195" s="48"/>
    </row>
    <row r="196" spans="1:12" x14ac:dyDescent="0.25">
      <c r="A196" s="41" t="s">
        <v>529</v>
      </c>
      <c r="B196" s="44" t="s">
        <v>528</v>
      </c>
      <c r="C196" s="39">
        <v>2020</v>
      </c>
      <c r="D196" s="38">
        <v>0.4</v>
      </c>
      <c r="E196" s="39">
        <v>9</v>
      </c>
      <c r="F196" s="11">
        <v>80</v>
      </c>
      <c r="G196" s="51">
        <v>8.91</v>
      </c>
      <c r="H196" s="140"/>
      <c r="L196" s="48"/>
    </row>
    <row r="197" spans="1:12" x14ac:dyDescent="0.25">
      <c r="A197" s="41" t="s">
        <v>482</v>
      </c>
      <c r="B197" s="44" t="s">
        <v>528</v>
      </c>
      <c r="C197" s="39">
        <v>2020</v>
      </c>
      <c r="D197" s="38">
        <v>0.4</v>
      </c>
      <c r="E197" s="39">
        <v>34</v>
      </c>
      <c r="F197" s="11">
        <v>80</v>
      </c>
      <c r="G197" s="51">
        <v>325.19</v>
      </c>
      <c r="H197" s="140"/>
      <c r="L197" s="48"/>
    </row>
    <row r="198" spans="1:12" x14ac:dyDescent="0.25">
      <c r="A198" s="41" t="s">
        <v>487</v>
      </c>
      <c r="B198" s="44" t="s">
        <v>527</v>
      </c>
      <c r="C198" s="39">
        <v>2020</v>
      </c>
      <c r="D198" s="39">
        <v>0.4</v>
      </c>
      <c r="E198" s="39">
        <v>71</v>
      </c>
      <c r="F198" s="11">
        <v>40</v>
      </c>
      <c r="G198" s="50">
        <v>46.35</v>
      </c>
      <c r="H198" s="134"/>
      <c r="J198" s="1">
        <v>0.65275328600000004</v>
      </c>
      <c r="L198" s="48"/>
    </row>
    <row r="199" spans="1:12" x14ac:dyDescent="0.25">
      <c r="A199" s="41" t="s">
        <v>526</v>
      </c>
      <c r="B199" s="44" t="s">
        <v>527</v>
      </c>
      <c r="C199" s="39">
        <v>2020</v>
      </c>
      <c r="D199" s="39">
        <v>0.4</v>
      </c>
      <c r="E199" s="39">
        <v>48</v>
      </c>
      <c r="F199" s="11">
        <v>40</v>
      </c>
      <c r="G199" s="50">
        <v>31.33</v>
      </c>
      <c r="H199" s="134"/>
      <c r="L199" s="48"/>
    </row>
    <row r="200" spans="1:12" x14ac:dyDescent="0.25">
      <c r="A200" s="41" t="s">
        <v>525</v>
      </c>
      <c r="B200" s="44" t="s">
        <v>527</v>
      </c>
      <c r="C200" s="39">
        <v>2020</v>
      </c>
      <c r="D200" s="39">
        <v>0.4</v>
      </c>
      <c r="E200" s="39">
        <v>21</v>
      </c>
      <c r="F200" s="11">
        <v>40</v>
      </c>
      <c r="G200" s="50">
        <v>13.71</v>
      </c>
      <c r="H200" s="134"/>
      <c r="K200" s="1">
        <v>683560.57</v>
      </c>
      <c r="L200" s="48"/>
    </row>
    <row r="201" spans="1:12" x14ac:dyDescent="0.25">
      <c r="A201" s="41" t="s">
        <v>487</v>
      </c>
      <c r="B201" s="44" t="s">
        <v>524</v>
      </c>
      <c r="C201" s="39">
        <v>2020</v>
      </c>
      <c r="D201" s="39">
        <v>0.4</v>
      </c>
      <c r="E201" s="39">
        <v>81</v>
      </c>
      <c r="F201" s="11">
        <v>10</v>
      </c>
      <c r="G201" s="50">
        <v>217.86</v>
      </c>
      <c r="H201" s="134"/>
      <c r="J201" s="1">
        <v>766.54157999999995</v>
      </c>
      <c r="K201" s="1">
        <v>95</v>
      </c>
      <c r="L201" s="48">
        <v>8.0688587369999993</v>
      </c>
    </row>
    <row r="202" spans="1:12" x14ac:dyDescent="0.25">
      <c r="A202" s="41" t="s">
        <v>526</v>
      </c>
      <c r="B202" s="44" t="s">
        <v>524</v>
      </c>
      <c r="C202" s="39">
        <v>2020</v>
      </c>
      <c r="D202" s="39">
        <v>0.4</v>
      </c>
      <c r="E202" s="39">
        <v>189</v>
      </c>
      <c r="F202" s="11">
        <v>10</v>
      </c>
      <c r="G202" s="50">
        <v>508.34</v>
      </c>
      <c r="H202" s="134"/>
      <c r="L202" s="48"/>
    </row>
    <row r="203" spans="1:12" x14ac:dyDescent="0.25">
      <c r="A203" s="41" t="s">
        <v>525</v>
      </c>
      <c r="B203" s="44" t="s">
        <v>524</v>
      </c>
      <c r="C203" s="39">
        <v>2020</v>
      </c>
      <c r="D203" s="39">
        <v>0.4</v>
      </c>
      <c r="E203" s="39">
        <v>5</v>
      </c>
      <c r="F203" s="11">
        <v>10</v>
      </c>
      <c r="G203" s="50">
        <v>40.340000000000003</v>
      </c>
      <c r="H203" s="134"/>
      <c r="L203" s="48"/>
    </row>
    <row r="204" spans="1:12" x14ac:dyDescent="0.25">
      <c r="A204" s="41" t="s">
        <v>482</v>
      </c>
      <c r="B204" s="44" t="s">
        <v>523</v>
      </c>
      <c r="C204" s="39">
        <v>2020</v>
      </c>
      <c r="D204" s="39">
        <v>0.4</v>
      </c>
      <c r="E204" s="38">
        <f>3*29</f>
        <v>87</v>
      </c>
      <c r="F204" s="11">
        <v>100</v>
      </c>
      <c r="G204" s="49">
        <v>311.47000000000003</v>
      </c>
      <c r="H204" s="144"/>
      <c r="J204" s="1">
        <v>488.51</v>
      </c>
      <c r="K204" s="1" t="e">
        <f>J204/#REF!</f>
        <v>#REF!</v>
      </c>
      <c r="L204" s="48"/>
    </row>
    <row r="205" spans="1:12" x14ac:dyDescent="0.25">
      <c r="A205" s="41" t="s">
        <v>493</v>
      </c>
      <c r="B205" s="44" t="s">
        <v>522</v>
      </c>
      <c r="C205" s="39">
        <v>2020</v>
      </c>
      <c r="D205" s="39">
        <v>0.4</v>
      </c>
      <c r="E205" s="38">
        <v>41</v>
      </c>
      <c r="F205" s="11">
        <v>100</v>
      </c>
      <c r="G205" s="49">
        <v>408.75</v>
      </c>
      <c r="H205" s="144"/>
      <c r="L205" s="48"/>
    </row>
    <row r="206" spans="1:12" x14ac:dyDescent="0.25">
      <c r="A206" s="41" t="s">
        <v>483</v>
      </c>
      <c r="B206" s="44" t="s">
        <v>522</v>
      </c>
      <c r="C206" s="39">
        <v>2020</v>
      </c>
      <c r="D206" s="39">
        <v>0.4</v>
      </c>
      <c r="E206" s="38">
        <v>8</v>
      </c>
      <c r="F206" s="11">
        <v>100</v>
      </c>
      <c r="G206" s="49">
        <v>79.760000000000005</v>
      </c>
      <c r="H206" s="144"/>
      <c r="J206" s="1">
        <v>311.47000000000003</v>
      </c>
      <c r="K206" s="1" t="e">
        <f>#REF!-J206</f>
        <v>#REF!</v>
      </c>
      <c r="L206" s="48"/>
    </row>
    <row r="207" spans="1:12" x14ac:dyDescent="0.25">
      <c r="A207" s="41" t="s">
        <v>482</v>
      </c>
      <c r="B207" s="44" t="s">
        <v>521</v>
      </c>
      <c r="C207" s="39">
        <v>2020</v>
      </c>
      <c r="D207" s="39">
        <v>0.4</v>
      </c>
      <c r="E207" s="38">
        <v>87</v>
      </c>
      <c r="F207" s="11">
        <v>100</v>
      </c>
      <c r="G207" s="49">
        <v>311.47000000000003</v>
      </c>
      <c r="H207" s="144"/>
      <c r="L207" s="48"/>
    </row>
    <row r="208" spans="1:12" x14ac:dyDescent="0.25">
      <c r="A208" s="41" t="s">
        <v>493</v>
      </c>
      <c r="B208" s="44" t="s">
        <v>521</v>
      </c>
      <c r="C208" s="39">
        <v>2020</v>
      </c>
      <c r="D208" s="39">
        <v>0.4</v>
      </c>
      <c r="E208" s="38">
        <v>41</v>
      </c>
      <c r="F208" s="11">
        <v>100</v>
      </c>
      <c r="G208" s="49">
        <v>408.75</v>
      </c>
      <c r="H208" s="144"/>
      <c r="L208" s="48"/>
    </row>
    <row r="209" spans="1:12" x14ac:dyDescent="0.25">
      <c r="A209" s="41" t="s">
        <v>483</v>
      </c>
      <c r="B209" s="44" t="s">
        <v>521</v>
      </c>
      <c r="C209" s="39">
        <v>2020</v>
      </c>
      <c r="D209" s="39">
        <v>0.4</v>
      </c>
      <c r="E209" s="38">
        <v>8</v>
      </c>
      <c r="F209" s="11">
        <v>100</v>
      </c>
      <c r="G209" s="49">
        <v>79.760000000000005</v>
      </c>
      <c r="H209" s="144"/>
      <c r="L209" s="48"/>
    </row>
    <row r="210" spans="1:12" x14ac:dyDescent="0.25">
      <c r="A210" s="41" t="s">
        <v>520</v>
      </c>
      <c r="B210" s="44" t="s">
        <v>517</v>
      </c>
      <c r="C210" s="39">
        <v>2020</v>
      </c>
      <c r="D210" s="39">
        <v>6</v>
      </c>
      <c r="E210" s="38">
        <f>3*8</f>
        <v>24</v>
      </c>
      <c r="F210" s="11">
        <v>300</v>
      </c>
      <c r="G210" s="42">
        <v>263.57</v>
      </c>
      <c r="H210" s="145"/>
      <c r="J210" s="15"/>
      <c r="K210" s="1">
        <v>223</v>
      </c>
      <c r="L210" s="48"/>
    </row>
    <row r="211" spans="1:12" x14ac:dyDescent="0.25">
      <c r="A211" s="41" t="s">
        <v>519</v>
      </c>
      <c r="B211" s="44" t="s">
        <v>517</v>
      </c>
      <c r="C211" s="39">
        <v>2020</v>
      </c>
      <c r="D211" s="39">
        <v>6</v>
      </c>
      <c r="E211" s="38">
        <v>29</v>
      </c>
      <c r="F211" s="11">
        <v>300</v>
      </c>
      <c r="G211" s="42">
        <v>72.650000000000006</v>
      </c>
      <c r="H211" s="145"/>
      <c r="K211" s="1" t="e">
        <f>#REF!/K210</f>
        <v>#REF!</v>
      </c>
      <c r="L211" s="48"/>
    </row>
    <row r="212" spans="1:12" ht="15.75" customHeight="1" x14ac:dyDescent="0.25">
      <c r="A212" s="41" t="s">
        <v>518</v>
      </c>
      <c r="B212" s="44" t="s">
        <v>517</v>
      </c>
      <c r="C212" s="39">
        <v>2020</v>
      </c>
      <c r="D212" s="39">
        <v>6</v>
      </c>
      <c r="E212" s="38">
        <f>3*10</f>
        <v>30</v>
      </c>
      <c r="F212" s="11">
        <v>300</v>
      </c>
      <c r="G212" s="42">
        <v>42.74</v>
      </c>
      <c r="H212" s="145"/>
    </row>
    <row r="213" spans="1:12" ht="15.75" customHeight="1" x14ac:dyDescent="0.25">
      <c r="A213" s="41" t="s">
        <v>516</v>
      </c>
      <c r="B213" s="44" t="s">
        <v>429</v>
      </c>
      <c r="C213" s="39">
        <v>2021</v>
      </c>
      <c r="D213" s="39">
        <v>0.4</v>
      </c>
      <c r="E213" s="38">
        <v>65</v>
      </c>
      <c r="F213" s="11">
        <v>15</v>
      </c>
      <c r="G213" s="42">
        <v>43.040199999999999</v>
      </c>
      <c r="H213" s="145"/>
      <c r="I213" s="1" t="s">
        <v>428</v>
      </c>
    </row>
    <row r="214" spans="1:12" ht="15.75" customHeight="1" x14ac:dyDescent="0.25">
      <c r="A214" s="41" t="s">
        <v>483</v>
      </c>
      <c r="B214" s="44" t="s">
        <v>427</v>
      </c>
      <c r="C214" s="39">
        <v>2021</v>
      </c>
      <c r="D214" s="39">
        <v>0.4</v>
      </c>
      <c r="E214" s="38">
        <v>145</v>
      </c>
      <c r="F214" s="11">
        <v>100</v>
      </c>
      <c r="G214" s="42">
        <v>426.01499999999999</v>
      </c>
      <c r="H214" s="145"/>
      <c r="I214" s="1" t="s">
        <v>426</v>
      </c>
    </row>
    <row r="215" spans="1:12" ht="15.75" customHeight="1" x14ac:dyDescent="0.25">
      <c r="A215" s="41" t="s">
        <v>482</v>
      </c>
      <c r="B215" s="44" t="s">
        <v>427</v>
      </c>
      <c r="C215" s="39">
        <v>2021</v>
      </c>
      <c r="D215" s="39">
        <v>0.4</v>
      </c>
      <c r="E215" s="38">
        <v>103</v>
      </c>
      <c r="F215" s="11">
        <v>100</v>
      </c>
      <c r="G215" s="42">
        <v>1102.3800000000001</v>
      </c>
      <c r="H215" s="145"/>
    </row>
    <row r="216" spans="1:12" ht="15.75" customHeight="1" x14ac:dyDescent="0.25">
      <c r="A216" s="47" t="s">
        <v>483</v>
      </c>
      <c r="B216" s="46" t="s">
        <v>515</v>
      </c>
      <c r="C216" s="45">
        <v>2021</v>
      </c>
      <c r="D216" s="45">
        <v>0.4</v>
      </c>
      <c r="E216" s="38">
        <v>135</v>
      </c>
      <c r="F216" s="11">
        <v>70</v>
      </c>
      <c r="G216" s="42">
        <v>366.88200000000001</v>
      </c>
      <c r="H216" s="145"/>
      <c r="I216" s="1" t="s">
        <v>420</v>
      </c>
    </row>
    <row r="217" spans="1:12" ht="15.75" customHeight="1" x14ac:dyDescent="0.25">
      <c r="A217" s="47" t="s">
        <v>482</v>
      </c>
      <c r="B217" s="46" t="s">
        <v>515</v>
      </c>
      <c r="C217" s="45">
        <v>2021</v>
      </c>
      <c r="D217" s="45">
        <v>0.4</v>
      </c>
      <c r="E217" s="38">
        <v>63</v>
      </c>
      <c r="F217" s="11">
        <v>70</v>
      </c>
      <c r="G217" s="42">
        <v>690.91800000000001</v>
      </c>
      <c r="H217" s="145"/>
      <c r="J217" s="1" t="s">
        <v>501</v>
      </c>
    </row>
    <row r="218" spans="1:12" ht="15.75" customHeight="1" x14ac:dyDescent="0.25">
      <c r="A218" s="47" t="s">
        <v>487</v>
      </c>
      <c r="B218" s="46" t="s">
        <v>515</v>
      </c>
      <c r="C218" s="45">
        <v>2021</v>
      </c>
      <c r="D218" s="45">
        <v>0.4</v>
      </c>
      <c r="E218" s="38">
        <v>43</v>
      </c>
      <c r="F218" s="11">
        <v>70</v>
      </c>
      <c r="G218" s="42">
        <v>150.73599999999999</v>
      </c>
      <c r="H218" s="145"/>
    </row>
    <row r="219" spans="1:12" ht="15.75" customHeight="1" x14ac:dyDescent="0.25">
      <c r="A219" s="47" t="s">
        <v>486</v>
      </c>
      <c r="B219" s="46" t="s">
        <v>515</v>
      </c>
      <c r="C219" s="45">
        <v>2021</v>
      </c>
      <c r="D219" s="45">
        <v>0.4</v>
      </c>
      <c r="E219" s="38">
        <v>22</v>
      </c>
      <c r="F219" s="11">
        <v>70</v>
      </c>
      <c r="G219" s="42">
        <v>316.93599999999998</v>
      </c>
      <c r="H219" s="145"/>
      <c r="I219" s="1">
        <v>1525470.7</v>
      </c>
      <c r="J219" s="1" t="s">
        <v>513</v>
      </c>
    </row>
    <row r="220" spans="1:12" ht="15.75" customHeight="1" x14ac:dyDescent="0.25">
      <c r="A220" s="47" t="s">
        <v>484</v>
      </c>
      <c r="B220" s="46" t="s">
        <v>514</v>
      </c>
      <c r="C220" s="45">
        <v>2021</v>
      </c>
      <c r="D220" s="45">
        <v>10</v>
      </c>
      <c r="E220" s="38">
        <v>156</v>
      </c>
      <c r="F220" s="11">
        <v>100</v>
      </c>
      <c r="G220" s="42">
        <v>89.548900000000003</v>
      </c>
      <c r="H220" s="145"/>
      <c r="I220" s="1" t="s">
        <v>361</v>
      </c>
    </row>
    <row r="221" spans="1:12" ht="15.75" customHeight="1" x14ac:dyDescent="0.25">
      <c r="A221" s="47" t="s">
        <v>483</v>
      </c>
      <c r="B221" s="46" t="s">
        <v>416</v>
      </c>
      <c r="C221" s="45">
        <v>2021</v>
      </c>
      <c r="D221" s="45">
        <v>0.4</v>
      </c>
      <c r="E221" s="38">
        <v>234</v>
      </c>
      <c r="F221" s="11">
        <v>40</v>
      </c>
      <c r="G221" s="42">
        <v>360.67500000000001</v>
      </c>
      <c r="H221" s="145"/>
      <c r="I221" s="1" t="s">
        <v>415</v>
      </c>
    </row>
    <row r="222" spans="1:12" ht="15.75" customHeight="1" x14ac:dyDescent="0.25">
      <c r="A222" s="47" t="s">
        <v>482</v>
      </c>
      <c r="B222" s="46" t="s">
        <v>416</v>
      </c>
      <c r="C222" s="45">
        <v>2021</v>
      </c>
      <c r="D222" s="45">
        <v>0.4</v>
      </c>
      <c r="E222" s="38">
        <v>34</v>
      </c>
      <c r="F222" s="11">
        <v>40</v>
      </c>
      <c r="G222" s="42">
        <v>349.78699999999998</v>
      </c>
      <c r="H222" s="145"/>
      <c r="I222" s="1">
        <v>1633840.08</v>
      </c>
      <c r="J222" s="1" t="s">
        <v>501</v>
      </c>
    </row>
    <row r="223" spans="1:12" ht="15.75" customHeight="1" x14ac:dyDescent="0.25">
      <c r="A223" s="47" t="s">
        <v>487</v>
      </c>
      <c r="B223" s="46" t="s">
        <v>416</v>
      </c>
      <c r="C223" s="45">
        <v>2021</v>
      </c>
      <c r="D223" s="45">
        <v>0.4</v>
      </c>
      <c r="E223" s="38">
        <v>40</v>
      </c>
      <c r="F223" s="11">
        <v>40</v>
      </c>
      <c r="G223" s="42">
        <v>344.62</v>
      </c>
      <c r="H223" s="145"/>
    </row>
    <row r="224" spans="1:12" ht="15.75" customHeight="1" x14ac:dyDescent="0.25">
      <c r="A224" s="47" t="s">
        <v>486</v>
      </c>
      <c r="B224" s="46" t="s">
        <v>416</v>
      </c>
      <c r="C224" s="45">
        <v>2021</v>
      </c>
      <c r="D224" s="45">
        <v>0.4</v>
      </c>
      <c r="E224" s="38">
        <v>43</v>
      </c>
      <c r="F224" s="11">
        <v>40</v>
      </c>
      <c r="G224" s="42">
        <v>578.75699999999995</v>
      </c>
      <c r="H224" s="145"/>
      <c r="J224" s="1" t="s">
        <v>513</v>
      </c>
    </row>
    <row r="225" spans="1:10" ht="15.75" customHeight="1" x14ac:dyDescent="0.25">
      <c r="A225" s="47" t="s">
        <v>487</v>
      </c>
      <c r="B225" s="46" t="s">
        <v>511</v>
      </c>
      <c r="C225" s="45">
        <v>2021</v>
      </c>
      <c r="D225" s="45">
        <v>6</v>
      </c>
      <c r="E225" s="38">
        <v>266</v>
      </c>
      <c r="F225" s="11">
        <v>30</v>
      </c>
      <c r="G225" s="42">
        <v>603.80200000000002</v>
      </c>
      <c r="H225" s="145"/>
      <c r="I225" s="1" t="s">
        <v>358</v>
      </c>
      <c r="J225" s="1" t="s">
        <v>512</v>
      </c>
    </row>
    <row r="226" spans="1:10" ht="15.75" customHeight="1" x14ac:dyDescent="0.25">
      <c r="A226" s="47" t="s">
        <v>486</v>
      </c>
      <c r="B226" s="46" t="s">
        <v>511</v>
      </c>
      <c r="C226" s="45">
        <v>2021</v>
      </c>
      <c r="D226" s="45">
        <v>6</v>
      </c>
      <c r="E226" s="38">
        <v>50</v>
      </c>
      <c r="F226" s="11">
        <v>30</v>
      </c>
      <c r="G226" s="42">
        <v>750.27700000000004</v>
      </c>
      <c r="H226" s="145"/>
      <c r="J226" s="1" t="s">
        <v>510</v>
      </c>
    </row>
    <row r="227" spans="1:10" ht="15.75" customHeight="1" x14ac:dyDescent="0.25">
      <c r="A227" s="47" t="s">
        <v>483</v>
      </c>
      <c r="B227" s="46" t="s">
        <v>410</v>
      </c>
      <c r="C227" s="45">
        <v>2021</v>
      </c>
      <c r="D227" s="45">
        <v>0.4</v>
      </c>
      <c r="E227" s="38">
        <v>226</v>
      </c>
      <c r="F227" s="11">
        <v>50</v>
      </c>
      <c r="G227" s="42">
        <v>630.51400000000001</v>
      </c>
      <c r="H227" s="145"/>
      <c r="I227" s="1" t="s">
        <v>409</v>
      </c>
      <c r="J227" s="1" t="s">
        <v>501</v>
      </c>
    </row>
    <row r="228" spans="1:10" ht="15.75" customHeight="1" x14ac:dyDescent="0.25">
      <c r="A228" s="47" t="s">
        <v>482</v>
      </c>
      <c r="B228" s="46" t="s">
        <v>410</v>
      </c>
      <c r="C228" s="45">
        <v>2021</v>
      </c>
      <c r="D228" s="45">
        <v>0.4</v>
      </c>
      <c r="E228" s="38">
        <v>29</v>
      </c>
      <c r="F228" s="11">
        <v>50</v>
      </c>
      <c r="G228" s="42">
        <v>501.66500000000002</v>
      </c>
      <c r="H228" s="145"/>
    </row>
    <row r="229" spans="1:10" ht="15.75" customHeight="1" x14ac:dyDescent="0.25">
      <c r="A229" s="47" t="s">
        <v>509</v>
      </c>
      <c r="B229" s="46" t="s">
        <v>507</v>
      </c>
      <c r="C229" s="45">
        <v>2021</v>
      </c>
      <c r="D229" s="45">
        <v>0.4</v>
      </c>
      <c r="E229" s="38">
        <v>73</v>
      </c>
      <c r="F229" s="11">
        <v>30</v>
      </c>
      <c r="G229" s="42">
        <v>195.86</v>
      </c>
      <c r="H229" s="145"/>
      <c r="I229" s="1" t="s">
        <v>506</v>
      </c>
    </row>
    <row r="230" spans="1:10" ht="15.75" customHeight="1" x14ac:dyDescent="0.25">
      <c r="A230" s="47" t="s">
        <v>508</v>
      </c>
      <c r="B230" s="46" t="s">
        <v>507</v>
      </c>
      <c r="C230" s="45">
        <v>2021</v>
      </c>
      <c r="D230" s="45">
        <v>0.4</v>
      </c>
      <c r="E230" s="38">
        <v>42</v>
      </c>
      <c r="F230" s="11">
        <v>30</v>
      </c>
      <c r="G230" s="42">
        <v>587.30100000000004</v>
      </c>
      <c r="H230" s="145"/>
      <c r="I230" s="1" t="s">
        <v>506</v>
      </c>
    </row>
    <row r="231" spans="1:10" ht="15.75" customHeight="1" x14ac:dyDescent="0.25">
      <c r="A231" s="47" t="s">
        <v>483</v>
      </c>
      <c r="B231" s="46" t="s">
        <v>408</v>
      </c>
      <c r="C231" s="45">
        <v>2021</v>
      </c>
      <c r="D231" s="45">
        <v>0.4</v>
      </c>
      <c r="E231" s="38">
        <v>157</v>
      </c>
      <c r="F231" s="11">
        <v>140</v>
      </c>
      <c r="G231" s="42">
        <v>531.41899999999998</v>
      </c>
      <c r="H231" s="145"/>
      <c r="I231" s="1" t="s">
        <v>505</v>
      </c>
      <c r="J231" s="1">
        <v>23630.44</v>
      </c>
    </row>
    <row r="232" spans="1:10" ht="15.75" customHeight="1" x14ac:dyDescent="0.25">
      <c r="A232" s="47" t="s">
        <v>482</v>
      </c>
      <c r="B232" s="46" t="s">
        <v>408</v>
      </c>
      <c r="C232" s="45">
        <v>2021</v>
      </c>
      <c r="D232" s="45">
        <v>0.4</v>
      </c>
      <c r="E232" s="38">
        <v>20</v>
      </c>
      <c r="F232" s="11">
        <v>140</v>
      </c>
      <c r="G232" s="42">
        <v>238.88499999999999</v>
      </c>
      <c r="H232" s="145"/>
      <c r="I232" s="1" t="s">
        <v>501</v>
      </c>
      <c r="J232" s="1">
        <v>24904.62</v>
      </c>
    </row>
    <row r="233" spans="1:10" ht="15.75" customHeight="1" x14ac:dyDescent="0.25">
      <c r="A233" s="47" t="s">
        <v>484</v>
      </c>
      <c r="B233" s="46" t="s">
        <v>504</v>
      </c>
      <c r="C233" s="45">
        <v>2021</v>
      </c>
      <c r="D233" s="45">
        <v>6</v>
      </c>
      <c r="E233" s="38">
        <v>330</v>
      </c>
      <c r="F233" s="11">
        <v>150</v>
      </c>
      <c r="G233" s="42">
        <v>840.44</v>
      </c>
      <c r="H233" s="145"/>
      <c r="I233" s="1" t="s">
        <v>353</v>
      </c>
    </row>
    <row r="234" spans="1:10" ht="15.75" customHeight="1" x14ac:dyDescent="0.25">
      <c r="A234" s="47" t="s">
        <v>483</v>
      </c>
      <c r="B234" s="46" t="s">
        <v>502</v>
      </c>
      <c r="C234" s="45">
        <v>2021</v>
      </c>
      <c r="D234" s="45">
        <v>0.4</v>
      </c>
      <c r="E234" s="38">
        <v>180</v>
      </c>
      <c r="F234" s="11">
        <v>40</v>
      </c>
      <c r="G234" s="42">
        <v>391.59199999999998</v>
      </c>
      <c r="H234" s="145"/>
      <c r="I234" s="1" t="s">
        <v>503</v>
      </c>
    </row>
    <row r="235" spans="1:10" ht="15.75" customHeight="1" x14ac:dyDescent="0.25">
      <c r="A235" s="47" t="s">
        <v>482</v>
      </c>
      <c r="B235" s="46" t="s">
        <v>502</v>
      </c>
      <c r="C235" s="45">
        <v>2021</v>
      </c>
      <c r="D235" s="45">
        <v>0.4</v>
      </c>
      <c r="E235" s="38">
        <v>30</v>
      </c>
      <c r="F235" s="11">
        <v>40</v>
      </c>
      <c r="G235" s="42">
        <v>358.017</v>
      </c>
      <c r="H235" s="145"/>
      <c r="I235" s="1" t="s">
        <v>501</v>
      </c>
    </row>
    <row r="236" spans="1:10" ht="15.75" customHeight="1" x14ac:dyDescent="0.25">
      <c r="A236" s="47" t="s">
        <v>483</v>
      </c>
      <c r="B236" s="46" t="s">
        <v>500</v>
      </c>
      <c r="C236" s="45">
        <v>2021</v>
      </c>
      <c r="D236" s="45">
        <v>0.4</v>
      </c>
      <c r="E236" s="38">
        <v>26</v>
      </c>
      <c r="F236" s="11">
        <v>50</v>
      </c>
      <c r="G236" s="42">
        <v>113.44</v>
      </c>
      <c r="H236" s="145"/>
      <c r="I236" s="1" t="s">
        <v>417</v>
      </c>
    </row>
    <row r="237" spans="1:10" ht="15.75" customHeight="1" x14ac:dyDescent="0.25">
      <c r="A237" s="41" t="s">
        <v>483</v>
      </c>
      <c r="B237" s="44" t="s">
        <v>402</v>
      </c>
      <c r="C237" s="39">
        <v>2021</v>
      </c>
      <c r="D237" s="39">
        <v>0.4</v>
      </c>
      <c r="E237" s="38">
        <v>177</v>
      </c>
      <c r="F237" s="11">
        <v>200</v>
      </c>
      <c r="G237" s="42">
        <v>447.87599999999998</v>
      </c>
      <c r="H237" s="145"/>
      <c r="I237" s="1" t="s">
        <v>499</v>
      </c>
    </row>
    <row r="238" spans="1:10" ht="15.75" customHeight="1" x14ac:dyDescent="0.25">
      <c r="A238" s="41" t="s">
        <v>482</v>
      </c>
      <c r="B238" s="44" t="s">
        <v>402</v>
      </c>
      <c r="C238" s="39">
        <v>2021</v>
      </c>
      <c r="D238" s="39">
        <v>0.4</v>
      </c>
      <c r="E238" s="38">
        <v>123</v>
      </c>
      <c r="F238" s="11">
        <v>200</v>
      </c>
      <c r="G238" s="42">
        <v>2771.76</v>
      </c>
      <c r="H238" s="145"/>
      <c r="I238" s="1" t="s">
        <v>498</v>
      </c>
      <c r="J238" s="1" t="s">
        <v>497</v>
      </c>
    </row>
    <row r="239" spans="1:10" ht="20.100000000000001" customHeight="1" x14ac:dyDescent="0.25">
      <c r="A239" s="41" t="s">
        <v>483</v>
      </c>
      <c r="B239" s="44" t="s">
        <v>496</v>
      </c>
      <c r="C239" s="39">
        <v>2021</v>
      </c>
      <c r="D239" s="39">
        <v>6</v>
      </c>
      <c r="E239" s="38">
        <v>26</v>
      </c>
      <c r="F239" s="11">
        <v>892</v>
      </c>
      <c r="G239" s="42">
        <v>76.820300000000003</v>
      </c>
      <c r="H239" s="145"/>
      <c r="I239" s="1" t="s">
        <v>495</v>
      </c>
      <c r="J239" s="1" t="s">
        <v>494</v>
      </c>
    </row>
    <row r="240" spans="1:10" ht="20.100000000000001" customHeight="1" x14ac:dyDescent="0.25">
      <c r="A240" s="41" t="s">
        <v>483</v>
      </c>
      <c r="B240" s="40" t="s">
        <v>395</v>
      </c>
      <c r="C240" s="43">
        <v>2022</v>
      </c>
      <c r="D240" s="39">
        <v>0.4</v>
      </c>
      <c r="E240" s="38">
        <v>198</v>
      </c>
      <c r="F240" s="11">
        <v>100</v>
      </c>
      <c r="G240" s="42">
        <v>39807.885000000009</v>
      </c>
      <c r="H240" s="145">
        <f>G240/1000</f>
        <v>39.807885000000006</v>
      </c>
    </row>
    <row r="241" spans="1:9" ht="20.100000000000001" customHeight="1" x14ac:dyDescent="0.25">
      <c r="A241" s="47" t="s">
        <v>483</v>
      </c>
      <c r="B241" s="85" t="s">
        <v>395</v>
      </c>
      <c r="C241" s="45">
        <v>2022</v>
      </c>
      <c r="D241" s="39">
        <v>0.4</v>
      </c>
      <c r="E241" s="86"/>
      <c r="F241" s="50"/>
      <c r="G241" s="42">
        <v>39807.885000000009</v>
      </c>
      <c r="H241" s="145">
        <f t="shared" ref="H241:H269" si="3">G241/1000</f>
        <v>39.807885000000006</v>
      </c>
    </row>
    <row r="242" spans="1:9" ht="20.100000000000001" customHeight="1" x14ac:dyDescent="0.25">
      <c r="A242" s="47" t="s">
        <v>483</v>
      </c>
      <c r="B242" s="85" t="s">
        <v>391</v>
      </c>
      <c r="C242" s="45">
        <v>2022</v>
      </c>
      <c r="D242" s="45">
        <v>0.4</v>
      </c>
      <c r="E242" s="86">
        <v>177</v>
      </c>
      <c r="F242" s="50">
        <v>135</v>
      </c>
      <c r="G242" s="42">
        <v>40693.985925925932</v>
      </c>
      <c r="H242" s="145">
        <f t="shared" si="3"/>
        <v>40.693985925925929</v>
      </c>
    </row>
    <row r="243" spans="1:9" ht="20.100000000000001" customHeight="1" x14ac:dyDescent="0.25">
      <c r="A243" s="47" t="s">
        <v>687</v>
      </c>
      <c r="B243" s="85" t="s">
        <v>96</v>
      </c>
      <c r="C243" s="45">
        <v>2022</v>
      </c>
      <c r="D243" s="45">
        <v>10</v>
      </c>
      <c r="E243" s="86">
        <v>176</v>
      </c>
      <c r="F243" s="50">
        <v>232.5</v>
      </c>
      <c r="G243" s="42">
        <v>79966.978064516123</v>
      </c>
      <c r="H243" s="145">
        <f t="shared" si="3"/>
        <v>79.966978064516127</v>
      </c>
    </row>
    <row r="244" spans="1:9" ht="20.100000000000001" customHeight="1" x14ac:dyDescent="0.25">
      <c r="A244" s="47" t="s">
        <v>687</v>
      </c>
      <c r="B244" s="85" t="s">
        <v>95</v>
      </c>
      <c r="C244" s="45">
        <v>2022</v>
      </c>
      <c r="D244" s="45">
        <v>10</v>
      </c>
      <c r="E244" s="86"/>
      <c r="F244" s="50"/>
      <c r="G244" s="42">
        <v>79966.978064516123</v>
      </c>
      <c r="H244" s="145">
        <f t="shared" si="3"/>
        <v>79.966978064516127</v>
      </c>
    </row>
    <row r="245" spans="1:9" ht="20.100000000000001" customHeight="1" thickBot="1" x14ac:dyDescent="0.3">
      <c r="A245" s="47" t="s">
        <v>687</v>
      </c>
      <c r="B245" s="85" t="s">
        <v>94</v>
      </c>
      <c r="C245" s="45">
        <v>2022</v>
      </c>
      <c r="D245" s="45">
        <v>10</v>
      </c>
      <c r="E245" s="86"/>
      <c r="F245" s="50"/>
      <c r="G245" s="42">
        <v>26655.65935483871</v>
      </c>
      <c r="H245" s="145">
        <f t="shared" si="3"/>
        <v>26.655659354838711</v>
      </c>
    </row>
    <row r="246" spans="1:9" ht="20.100000000000001" customHeight="1" thickBot="1" x14ac:dyDescent="0.3">
      <c r="A246" s="119" t="s">
        <v>712</v>
      </c>
      <c r="B246" s="86" t="s">
        <v>395</v>
      </c>
      <c r="C246" s="120">
        <v>2022</v>
      </c>
      <c r="D246" s="336">
        <v>0.4</v>
      </c>
      <c r="E246" s="327">
        <v>198</v>
      </c>
      <c r="F246" s="336">
        <f>50+20+15+15</f>
        <v>100</v>
      </c>
      <c r="G246" s="121">
        <f>265385.9/(50+20+15+15)*50</f>
        <v>132692.95000000001</v>
      </c>
      <c r="H246" s="145">
        <f t="shared" si="3"/>
        <v>132.69295000000002</v>
      </c>
      <c r="I246" s="1" t="s">
        <v>711</v>
      </c>
    </row>
    <row r="247" spans="1:9" ht="20.100000000000001" customHeight="1" x14ac:dyDescent="0.25">
      <c r="A247" s="119" t="s">
        <v>712</v>
      </c>
      <c r="B247" s="86" t="s">
        <v>394</v>
      </c>
      <c r="C247" s="120">
        <v>2022</v>
      </c>
      <c r="D247" s="328"/>
      <c r="E247" s="328"/>
      <c r="F247" s="328"/>
      <c r="G247" s="121">
        <f>265385.9/(50+20+15+15)*20</f>
        <v>53077.180000000008</v>
      </c>
      <c r="H247" s="145">
        <f t="shared" si="3"/>
        <v>53.077180000000006</v>
      </c>
    </row>
    <row r="248" spans="1:9" ht="20.100000000000001" customHeight="1" x14ac:dyDescent="0.25">
      <c r="A248" s="123" t="s">
        <v>713</v>
      </c>
      <c r="B248" s="86" t="s">
        <v>390</v>
      </c>
      <c r="C248" s="120">
        <v>2022</v>
      </c>
      <c r="D248" s="327">
        <v>0.4</v>
      </c>
      <c r="E248" s="327">
        <v>177</v>
      </c>
      <c r="F248" s="329">
        <f>100+30+5</f>
        <v>135</v>
      </c>
      <c r="G248" s="121">
        <f>1098737.62/(100+30+5)*100</f>
        <v>813879.71851851861</v>
      </c>
      <c r="H248" s="145">
        <f t="shared" si="3"/>
        <v>813.87971851851864</v>
      </c>
    </row>
    <row r="249" spans="1:9" ht="20.100000000000001" customHeight="1" x14ac:dyDescent="0.25">
      <c r="A249" s="123" t="s">
        <v>713</v>
      </c>
      <c r="B249" s="86" t="s">
        <v>389</v>
      </c>
      <c r="C249" s="120">
        <v>2022</v>
      </c>
      <c r="D249" s="328"/>
      <c r="E249" s="328"/>
      <c r="F249" s="330"/>
      <c r="G249" s="121">
        <f>1098737.62/(100+30+5)*30</f>
        <v>244163.91555555558</v>
      </c>
      <c r="H249" s="145">
        <f t="shared" si="3"/>
        <v>244.16391555555558</v>
      </c>
    </row>
    <row r="250" spans="1:9" ht="20.100000000000001" customHeight="1" x14ac:dyDescent="0.25">
      <c r="A250" s="123" t="s">
        <v>714</v>
      </c>
      <c r="B250" s="86" t="s">
        <v>492</v>
      </c>
      <c r="C250" s="120">
        <v>2022</v>
      </c>
      <c r="D250" s="327">
        <v>0.4</v>
      </c>
      <c r="E250" s="327">
        <v>213</v>
      </c>
      <c r="F250" s="327">
        <f>40+30+40+30</f>
        <v>140</v>
      </c>
      <c r="G250" s="121">
        <f>2676818.74/(40+30+40+30)*40</f>
        <v>764805.35428571445</v>
      </c>
      <c r="H250" s="145">
        <f t="shared" si="3"/>
        <v>764.80535428571443</v>
      </c>
    </row>
    <row r="251" spans="1:9" ht="20.100000000000001" customHeight="1" x14ac:dyDescent="0.25">
      <c r="A251" s="123" t="s">
        <v>714</v>
      </c>
      <c r="B251" s="86" t="s">
        <v>491</v>
      </c>
      <c r="C251" s="120">
        <v>2022</v>
      </c>
      <c r="D251" s="331"/>
      <c r="E251" s="331"/>
      <c r="F251" s="331"/>
      <c r="G251" s="121">
        <f>2676818.74/(40+30+40+30)*30</f>
        <v>573604.01571428578</v>
      </c>
      <c r="H251" s="145">
        <f t="shared" si="3"/>
        <v>573.60401571428577</v>
      </c>
    </row>
    <row r="252" spans="1:9" ht="20.100000000000001" customHeight="1" x14ac:dyDescent="0.25">
      <c r="A252" s="123" t="s">
        <v>714</v>
      </c>
      <c r="B252" s="86" t="s">
        <v>490</v>
      </c>
      <c r="C252" s="120">
        <v>2022</v>
      </c>
      <c r="D252" s="331"/>
      <c r="E252" s="331"/>
      <c r="F252" s="331"/>
      <c r="G252" s="121">
        <f>2676818.74/(40+30+40+30)*40</f>
        <v>764805.35428571445</v>
      </c>
      <c r="H252" s="145">
        <f t="shared" si="3"/>
        <v>764.80535428571443</v>
      </c>
    </row>
    <row r="253" spans="1:9" ht="20.100000000000001" customHeight="1" x14ac:dyDescent="0.25">
      <c r="A253" s="123" t="s">
        <v>714</v>
      </c>
      <c r="B253" s="86" t="s">
        <v>489</v>
      </c>
      <c r="C253" s="120">
        <v>2022</v>
      </c>
      <c r="D253" s="328"/>
      <c r="E253" s="328"/>
      <c r="F253" s="328"/>
      <c r="G253" s="121">
        <f>2676818.74/(40+30+40+30)*30</f>
        <v>573604.01571428578</v>
      </c>
      <c r="H253" s="145">
        <f t="shared" si="3"/>
        <v>573.60401571428577</v>
      </c>
    </row>
    <row r="254" spans="1:9" ht="20.100000000000001" customHeight="1" x14ac:dyDescent="0.25">
      <c r="A254" s="125" t="s">
        <v>713</v>
      </c>
      <c r="B254" s="86" t="s">
        <v>488</v>
      </c>
      <c r="C254" s="120">
        <v>2022</v>
      </c>
      <c r="D254" s="120">
        <v>0.4</v>
      </c>
      <c r="E254" s="120">
        <v>168</v>
      </c>
      <c r="F254" s="86">
        <v>100</v>
      </c>
      <c r="G254" s="121">
        <f>1483573.73</f>
        <v>1483573.73</v>
      </c>
      <c r="H254" s="145">
        <f t="shared" si="3"/>
        <v>1483.5737300000001</v>
      </c>
    </row>
    <row r="255" spans="1:9" ht="20.100000000000001" customHeight="1" x14ac:dyDescent="0.25">
      <c r="A255" s="125" t="s">
        <v>713</v>
      </c>
      <c r="B255" s="111" t="s">
        <v>387</v>
      </c>
      <c r="C255" s="120">
        <v>2022</v>
      </c>
      <c r="D255" s="120">
        <v>0.4</v>
      </c>
      <c r="E255" s="120">
        <v>262</v>
      </c>
      <c r="F255" s="86">
        <v>60</v>
      </c>
      <c r="G255" s="121">
        <f>2093613.97</f>
        <v>2093613.97</v>
      </c>
      <c r="H255" s="145">
        <f t="shared" si="3"/>
        <v>2093.6139699999999</v>
      </c>
    </row>
    <row r="256" spans="1:9" ht="20.100000000000001" customHeight="1" x14ac:dyDescent="0.25">
      <c r="A256" s="123" t="s">
        <v>715</v>
      </c>
      <c r="B256" s="86" t="s">
        <v>349</v>
      </c>
      <c r="C256" s="120">
        <v>2022</v>
      </c>
      <c r="D256" s="327">
        <v>6</v>
      </c>
      <c r="E256" s="327">
        <v>405</v>
      </c>
      <c r="F256" s="329">
        <f>150+100</f>
        <v>250</v>
      </c>
      <c r="G256" s="121">
        <f>4042377.62/(150+100)*150</f>
        <v>2425426.5720000002</v>
      </c>
      <c r="H256" s="145">
        <f t="shared" si="3"/>
        <v>2425.4265720000003</v>
      </c>
    </row>
    <row r="257" spans="1:8" ht="20.100000000000001" customHeight="1" x14ac:dyDescent="0.25">
      <c r="A257" s="123" t="s">
        <v>715</v>
      </c>
      <c r="B257" s="86" t="s">
        <v>348</v>
      </c>
      <c r="C257" s="120">
        <v>2022</v>
      </c>
      <c r="D257" s="328"/>
      <c r="E257" s="328"/>
      <c r="F257" s="330"/>
      <c r="G257" s="121">
        <f>4042377.62/(150+100)*100</f>
        <v>1616951.0480000002</v>
      </c>
      <c r="H257" s="145">
        <f t="shared" si="3"/>
        <v>1616.9510480000001</v>
      </c>
    </row>
    <row r="258" spans="1:8" ht="20.100000000000001" customHeight="1" x14ac:dyDescent="0.25">
      <c r="A258" s="125" t="s">
        <v>716</v>
      </c>
      <c r="B258" s="86" t="s">
        <v>347</v>
      </c>
      <c r="C258" s="120">
        <v>2022</v>
      </c>
      <c r="D258" s="120">
        <v>0.4</v>
      </c>
      <c r="E258" s="120">
        <v>214</v>
      </c>
      <c r="F258" s="86">
        <v>50</v>
      </c>
      <c r="G258" s="126">
        <f>746288.91</f>
        <v>746288.91</v>
      </c>
      <c r="H258" s="145">
        <f>G258/1000</f>
        <v>746.28890999999999</v>
      </c>
    </row>
    <row r="259" spans="1:8" ht="20.100000000000001" customHeight="1" x14ac:dyDescent="0.25">
      <c r="A259" s="125" t="s">
        <v>715</v>
      </c>
      <c r="B259" s="86" t="s">
        <v>347</v>
      </c>
      <c r="C259" s="120">
        <v>2022</v>
      </c>
      <c r="D259" s="120">
        <v>6</v>
      </c>
      <c r="E259" s="120">
        <v>330</v>
      </c>
      <c r="F259" s="86">
        <f>250*0.94</f>
        <v>235</v>
      </c>
      <c r="G259" s="126">
        <f>(998052.43+67470.25+288556.42+9078.66 +14886.55)/(250*0.94)*50</f>
        <v>293200.9170212766</v>
      </c>
      <c r="H259" s="145">
        <f t="shared" si="3"/>
        <v>293.20091702127661</v>
      </c>
    </row>
    <row r="260" spans="1:8" ht="20.100000000000001" customHeight="1" x14ac:dyDescent="0.25">
      <c r="A260" s="125" t="s">
        <v>717</v>
      </c>
      <c r="B260" s="111" t="s">
        <v>342</v>
      </c>
      <c r="C260" s="120">
        <v>2022</v>
      </c>
      <c r="D260" s="120">
        <v>10</v>
      </c>
      <c r="E260" s="120">
        <v>176</v>
      </c>
      <c r="F260" s="86">
        <f>250*0.93</f>
        <v>232.5</v>
      </c>
      <c r="G260" s="127">
        <f>1239488.16/(250*0.93)*150</f>
        <v>799669.78064516129</v>
      </c>
      <c r="H260" s="145">
        <f t="shared" si="3"/>
        <v>799.66978064516127</v>
      </c>
    </row>
    <row r="261" spans="1:8" ht="20.100000000000001" customHeight="1" x14ac:dyDescent="0.25">
      <c r="A261" s="125" t="s">
        <v>715</v>
      </c>
      <c r="B261" s="97" t="s">
        <v>340</v>
      </c>
      <c r="C261" s="120">
        <v>2022</v>
      </c>
      <c r="D261" s="120">
        <v>10</v>
      </c>
      <c r="E261" s="120">
        <v>28</v>
      </c>
      <c r="F261" s="120">
        <f>250*0.93</f>
        <v>232.5</v>
      </c>
      <c r="G261" s="121">
        <f>89548.89/(250*0.93)*100</f>
        <v>38515.651612903224</v>
      </c>
      <c r="H261" s="145">
        <f t="shared" si="3"/>
        <v>38.515651612903227</v>
      </c>
    </row>
    <row r="262" spans="1:8" ht="20.100000000000001" customHeight="1" x14ac:dyDescent="0.25">
      <c r="A262" s="125" t="s">
        <v>713</v>
      </c>
      <c r="B262" s="97" t="s">
        <v>338</v>
      </c>
      <c r="C262" s="120">
        <v>2022</v>
      </c>
      <c r="D262" s="120">
        <v>0.4</v>
      </c>
      <c r="E262" s="120">
        <v>32.5</v>
      </c>
      <c r="F262" s="128">
        <v>100</v>
      </c>
      <c r="G262" s="129">
        <f>113163.7</f>
        <v>113163.7</v>
      </c>
      <c r="H262" s="145">
        <f t="shared" si="3"/>
        <v>113.16369999999999</v>
      </c>
    </row>
    <row r="263" spans="1:8" ht="20.100000000000001" customHeight="1" x14ac:dyDescent="0.25">
      <c r="A263" s="125" t="s">
        <v>715</v>
      </c>
      <c r="B263" s="97" t="s">
        <v>338</v>
      </c>
      <c r="C263" s="120">
        <v>2022</v>
      </c>
      <c r="D263" s="120">
        <v>6</v>
      </c>
      <c r="E263" s="120">
        <v>81</v>
      </c>
      <c r="F263" s="128">
        <f>160*0.94</f>
        <v>150.39999999999998</v>
      </c>
      <c r="G263" s="129">
        <f>745879.82/(160*0.94)*100</f>
        <v>495930.73138297879</v>
      </c>
      <c r="H263" s="145">
        <f t="shared" si="3"/>
        <v>495.93073138297876</v>
      </c>
    </row>
    <row r="264" spans="1:8" ht="20.100000000000001" customHeight="1" x14ac:dyDescent="0.25">
      <c r="A264" s="125" t="s">
        <v>715</v>
      </c>
      <c r="B264" s="97" t="s">
        <v>338</v>
      </c>
      <c r="C264" s="120">
        <v>2022</v>
      </c>
      <c r="D264" s="120">
        <v>6</v>
      </c>
      <c r="E264" s="120">
        <v>91.5</v>
      </c>
      <c r="F264" s="128">
        <f>160*0.94</f>
        <v>150.39999999999998</v>
      </c>
      <c r="G264" s="129">
        <f>780365.7/(160*0.94)*100</f>
        <v>518860.17287234042</v>
      </c>
      <c r="H264" s="145">
        <f t="shared" si="3"/>
        <v>518.8601728723404</v>
      </c>
    </row>
    <row r="265" spans="1:8" ht="20.100000000000001" customHeight="1" x14ac:dyDescent="0.25">
      <c r="A265" s="125" t="s">
        <v>713</v>
      </c>
      <c r="B265" s="97" t="s">
        <v>336</v>
      </c>
      <c r="C265" s="120">
        <v>2022</v>
      </c>
      <c r="D265" s="120">
        <v>0.4</v>
      </c>
      <c r="E265" s="120">
        <v>33</v>
      </c>
      <c r="F265" s="128">
        <v>100</v>
      </c>
      <c r="G265" s="129">
        <f>187767.63</f>
        <v>187767.63</v>
      </c>
      <c r="H265" s="145">
        <f t="shared" si="3"/>
        <v>187.76763</v>
      </c>
    </row>
    <row r="266" spans="1:8" ht="20.100000000000001" customHeight="1" x14ac:dyDescent="0.25">
      <c r="A266" s="125" t="s">
        <v>718</v>
      </c>
      <c r="B266" s="97" t="s">
        <v>336</v>
      </c>
      <c r="C266" s="120">
        <v>2022</v>
      </c>
      <c r="D266" s="120">
        <v>6</v>
      </c>
      <c r="E266" s="120">
        <v>215.5</v>
      </c>
      <c r="F266" s="128">
        <f>160*0.94</f>
        <v>150.39999999999998</v>
      </c>
      <c r="G266" s="129">
        <f>946473.71/(160*0.94)*100</f>
        <v>629304.32845744689</v>
      </c>
      <c r="H266" s="145">
        <f t="shared" si="3"/>
        <v>629.3043284574469</v>
      </c>
    </row>
    <row r="267" spans="1:8" ht="20.100000000000001" customHeight="1" x14ac:dyDescent="0.25">
      <c r="A267" s="125" t="s">
        <v>713</v>
      </c>
      <c r="B267" s="97" t="s">
        <v>335</v>
      </c>
      <c r="C267" s="120">
        <v>2022</v>
      </c>
      <c r="D267" s="120">
        <v>0.4</v>
      </c>
      <c r="E267" s="120">
        <v>224</v>
      </c>
      <c r="F267" s="128">
        <v>150</v>
      </c>
      <c r="G267" s="129">
        <f>2688752.24</f>
        <v>2688752.24</v>
      </c>
      <c r="H267" s="145">
        <f t="shared" si="3"/>
        <v>2688.7522400000003</v>
      </c>
    </row>
    <row r="268" spans="1:8" ht="20.100000000000001" customHeight="1" x14ac:dyDescent="0.25">
      <c r="A268" s="123" t="s">
        <v>717</v>
      </c>
      <c r="B268" s="97" t="s">
        <v>335</v>
      </c>
      <c r="C268" s="120">
        <v>2022</v>
      </c>
      <c r="D268" s="327">
        <v>6</v>
      </c>
      <c r="E268" s="327">
        <v>671</v>
      </c>
      <c r="F268" s="332">
        <f>400*0.94</f>
        <v>376</v>
      </c>
      <c r="G268" s="130">
        <f>5983090.75/(400*0.94)*150</f>
        <v>2386871.3098404254</v>
      </c>
      <c r="H268" s="145">
        <f t="shared" si="3"/>
        <v>2386.8713098404255</v>
      </c>
    </row>
    <row r="269" spans="1:8" ht="20.100000000000001" customHeight="1" x14ac:dyDescent="0.25">
      <c r="A269" s="123" t="s">
        <v>717</v>
      </c>
      <c r="B269" s="97" t="s">
        <v>332</v>
      </c>
      <c r="C269" s="120">
        <v>2022</v>
      </c>
      <c r="D269" s="328"/>
      <c r="E269" s="328"/>
      <c r="F269" s="333"/>
      <c r="G269" s="130">
        <f>5983090.75/(400*0.94)*150</f>
        <v>2386871.3098404254</v>
      </c>
      <c r="H269" s="145">
        <f t="shared" si="3"/>
        <v>2386.8713098404255</v>
      </c>
    </row>
    <row r="270" spans="1:8" ht="48.95" customHeight="1" x14ac:dyDescent="0.25">
      <c r="A270" s="35" t="s">
        <v>481</v>
      </c>
      <c r="B270" s="34" t="s">
        <v>480</v>
      </c>
      <c r="C270" s="12"/>
      <c r="D270" s="12"/>
      <c r="E270" s="12"/>
      <c r="F270" s="12"/>
      <c r="G270" s="11"/>
    </row>
    <row r="271" spans="1:8" s="30" customFormat="1" ht="123" customHeight="1" x14ac:dyDescent="0.25">
      <c r="A271" s="25" t="s">
        <v>479</v>
      </c>
      <c r="B271" s="29" t="s">
        <v>478</v>
      </c>
      <c r="C271" s="13"/>
      <c r="D271" s="12"/>
      <c r="E271" s="13"/>
      <c r="F271" s="12"/>
      <c r="G271" s="11"/>
      <c r="H271" s="2"/>
    </row>
    <row r="272" spans="1:8" s="30" customFormat="1" ht="63" customHeight="1" x14ac:dyDescent="0.25">
      <c r="A272" s="25" t="s">
        <v>477</v>
      </c>
      <c r="B272" s="29" t="s">
        <v>476</v>
      </c>
      <c r="C272" s="13"/>
      <c r="D272" s="12"/>
      <c r="E272" s="13"/>
      <c r="F272" s="12"/>
      <c r="G272" s="11"/>
      <c r="H272" s="2"/>
    </row>
    <row r="273" spans="1:10" ht="71.45" customHeight="1" x14ac:dyDescent="0.25">
      <c r="A273" s="25" t="s">
        <v>475</v>
      </c>
      <c r="B273" s="29" t="s">
        <v>474</v>
      </c>
      <c r="C273" s="13"/>
      <c r="D273" s="12"/>
      <c r="E273" s="13"/>
      <c r="F273" s="12"/>
      <c r="G273" s="11"/>
    </row>
    <row r="274" spans="1:10" ht="18.600000000000001" customHeight="1" x14ac:dyDescent="0.25">
      <c r="A274" s="36" t="s">
        <v>414</v>
      </c>
      <c r="B274" s="37" t="s">
        <v>473</v>
      </c>
      <c r="C274" s="12">
        <v>2020</v>
      </c>
      <c r="D274" s="12">
        <v>0.4</v>
      </c>
      <c r="E274" s="12"/>
      <c r="F274" s="12">
        <v>15</v>
      </c>
      <c r="G274" s="11">
        <v>53.58</v>
      </c>
      <c r="J274" s="1" t="s">
        <v>472</v>
      </c>
    </row>
    <row r="275" spans="1:10" x14ac:dyDescent="0.25">
      <c r="A275" s="36" t="s">
        <v>419</v>
      </c>
      <c r="B275" s="37" t="s">
        <v>471</v>
      </c>
      <c r="C275" s="12">
        <v>2020</v>
      </c>
      <c r="D275" s="12">
        <v>0.4</v>
      </c>
      <c r="E275" s="12"/>
      <c r="F275" s="12">
        <v>15</v>
      </c>
      <c r="G275" s="11">
        <v>76.28</v>
      </c>
    </row>
    <row r="276" spans="1:10" x14ac:dyDescent="0.25">
      <c r="A276" s="36" t="s">
        <v>419</v>
      </c>
      <c r="B276" s="37" t="s">
        <v>470</v>
      </c>
      <c r="C276" s="12">
        <v>2020</v>
      </c>
      <c r="D276" s="12">
        <v>0.4</v>
      </c>
      <c r="E276" s="12"/>
      <c r="F276" s="12">
        <v>5</v>
      </c>
      <c r="G276" s="11">
        <v>30.05</v>
      </c>
    </row>
    <row r="277" spans="1:10" x14ac:dyDescent="0.25">
      <c r="A277" s="36" t="s">
        <v>419</v>
      </c>
      <c r="B277" s="37" t="s">
        <v>469</v>
      </c>
      <c r="C277" s="12">
        <v>2020</v>
      </c>
      <c r="D277" s="12">
        <v>0.4</v>
      </c>
      <c r="E277" s="12"/>
      <c r="F277" s="12">
        <v>5</v>
      </c>
      <c r="G277" s="11">
        <v>28.16</v>
      </c>
    </row>
    <row r="278" spans="1:10" x14ac:dyDescent="0.25">
      <c r="A278" s="36" t="s">
        <v>419</v>
      </c>
      <c r="B278" s="37" t="s">
        <v>468</v>
      </c>
      <c r="C278" s="12">
        <v>2020</v>
      </c>
      <c r="D278" s="12">
        <v>0.4</v>
      </c>
      <c r="E278" s="12"/>
      <c r="F278" s="12">
        <v>5</v>
      </c>
      <c r="G278" s="11">
        <v>30.05</v>
      </c>
    </row>
    <row r="279" spans="1:10" x14ac:dyDescent="0.25">
      <c r="A279" s="36" t="s">
        <v>419</v>
      </c>
      <c r="B279" s="37" t="s">
        <v>467</v>
      </c>
      <c r="C279" s="12">
        <v>2020</v>
      </c>
      <c r="D279" s="12">
        <v>0.4</v>
      </c>
      <c r="E279" s="12"/>
      <c r="F279" s="12">
        <v>5</v>
      </c>
      <c r="G279" s="11">
        <v>30.05</v>
      </c>
    </row>
    <row r="280" spans="1:10" x14ac:dyDescent="0.25">
      <c r="A280" s="36" t="s">
        <v>419</v>
      </c>
      <c r="B280" s="37" t="s">
        <v>466</v>
      </c>
      <c r="C280" s="12">
        <v>2020</v>
      </c>
      <c r="D280" s="12">
        <v>0.4</v>
      </c>
      <c r="E280" s="12"/>
      <c r="F280" s="12">
        <v>5</v>
      </c>
      <c r="G280" s="11">
        <v>30.05</v>
      </c>
    </row>
    <row r="281" spans="1:10" x14ac:dyDescent="0.25">
      <c r="A281" s="36" t="s">
        <v>419</v>
      </c>
      <c r="B281" s="37" t="s">
        <v>465</v>
      </c>
      <c r="C281" s="12">
        <v>2020</v>
      </c>
      <c r="D281" s="12">
        <v>0.4</v>
      </c>
      <c r="E281" s="12"/>
      <c r="F281" s="12">
        <v>5</v>
      </c>
      <c r="G281" s="11">
        <v>34.21</v>
      </c>
    </row>
    <row r="282" spans="1:10" x14ac:dyDescent="0.25">
      <c r="A282" s="36" t="s">
        <v>419</v>
      </c>
      <c r="B282" s="37" t="s">
        <v>464</v>
      </c>
      <c r="C282" s="12">
        <v>2020</v>
      </c>
      <c r="D282" s="12">
        <v>0.4</v>
      </c>
      <c r="E282" s="12"/>
      <c r="F282" s="12">
        <v>5</v>
      </c>
      <c r="G282" s="11">
        <v>31.21</v>
      </c>
    </row>
    <row r="283" spans="1:10" x14ac:dyDescent="0.25">
      <c r="A283" s="36" t="s">
        <v>419</v>
      </c>
      <c r="B283" s="37" t="s">
        <v>463</v>
      </c>
      <c r="C283" s="12">
        <v>2020</v>
      </c>
      <c r="D283" s="12">
        <v>0.4</v>
      </c>
      <c r="E283" s="12"/>
      <c r="F283" s="12">
        <v>5</v>
      </c>
      <c r="G283" s="11">
        <v>31.21</v>
      </c>
    </row>
    <row r="284" spans="1:10" x14ac:dyDescent="0.25">
      <c r="A284" s="36" t="s">
        <v>419</v>
      </c>
      <c r="B284" s="37" t="s">
        <v>462</v>
      </c>
      <c r="C284" s="12">
        <v>2020</v>
      </c>
      <c r="D284" s="12">
        <v>0.4</v>
      </c>
      <c r="E284" s="12"/>
      <c r="F284" s="12">
        <v>5</v>
      </c>
      <c r="G284" s="11">
        <v>31.21</v>
      </c>
    </row>
    <row r="285" spans="1:10" x14ac:dyDescent="0.25">
      <c r="A285" s="36" t="s">
        <v>419</v>
      </c>
      <c r="B285" s="37" t="s">
        <v>461</v>
      </c>
      <c r="C285" s="12">
        <v>2020</v>
      </c>
      <c r="D285" s="12">
        <v>0.4</v>
      </c>
      <c r="E285" s="12"/>
      <c r="F285" s="12">
        <v>5</v>
      </c>
      <c r="G285" s="11">
        <v>29.94</v>
      </c>
    </row>
    <row r="286" spans="1:10" x14ac:dyDescent="0.25">
      <c r="A286" s="36" t="s">
        <v>419</v>
      </c>
      <c r="B286" s="37" t="s">
        <v>460</v>
      </c>
      <c r="C286" s="12">
        <v>2020</v>
      </c>
      <c r="D286" s="12">
        <v>0.4</v>
      </c>
      <c r="E286" s="12"/>
      <c r="F286" s="12">
        <v>5</v>
      </c>
      <c r="G286" s="11">
        <v>29.94</v>
      </c>
    </row>
    <row r="287" spans="1:10" x14ac:dyDescent="0.25">
      <c r="A287" s="36" t="s">
        <v>419</v>
      </c>
      <c r="B287" s="37" t="s">
        <v>459</v>
      </c>
      <c r="C287" s="12">
        <v>2020</v>
      </c>
      <c r="D287" s="12">
        <v>0.4</v>
      </c>
      <c r="E287" s="12"/>
      <c r="F287" s="12">
        <v>5</v>
      </c>
      <c r="G287" s="11">
        <v>29.94</v>
      </c>
    </row>
    <row r="288" spans="1:10" x14ac:dyDescent="0.25">
      <c r="A288" s="36" t="s">
        <v>419</v>
      </c>
      <c r="B288" s="37" t="s">
        <v>458</v>
      </c>
      <c r="C288" s="12">
        <v>2020</v>
      </c>
      <c r="D288" s="12">
        <v>0.4</v>
      </c>
      <c r="E288" s="12"/>
      <c r="F288" s="12">
        <v>5</v>
      </c>
      <c r="G288" s="11">
        <v>31.21</v>
      </c>
    </row>
    <row r="289" spans="1:10" ht="18" customHeight="1" x14ac:dyDescent="0.25">
      <c r="A289" s="36" t="s">
        <v>419</v>
      </c>
      <c r="B289" s="37" t="s">
        <v>457</v>
      </c>
      <c r="C289" s="12">
        <v>2020</v>
      </c>
      <c r="D289" s="12">
        <v>0.4</v>
      </c>
      <c r="E289" s="12"/>
      <c r="F289" s="12">
        <v>5</v>
      </c>
      <c r="G289" s="11">
        <v>31.21</v>
      </c>
    </row>
    <row r="290" spans="1:10" ht="18.95" customHeight="1" x14ac:dyDescent="0.25">
      <c r="A290" s="36" t="s">
        <v>419</v>
      </c>
      <c r="B290" s="37" t="s">
        <v>456</v>
      </c>
      <c r="C290" s="12">
        <v>2020</v>
      </c>
      <c r="D290" s="12">
        <v>0.4</v>
      </c>
      <c r="E290" s="12"/>
      <c r="F290" s="12">
        <v>5</v>
      </c>
      <c r="G290" s="11">
        <v>31.21</v>
      </c>
    </row>
    <row r="291" spans="1:10" ht="23.45" customHeight="1" x14ac:dyDescent="0.25">
      <c r="A291" s="36" t="s">
        <v>419</v>
      </c>
      <c r="B291" s="37" t="s">
        <v>455</v>
      </c>
      <c r="C291" s="12">
        <v>2020</v>
      </c>
      <c r="D291" s="12">
        <v>0.4</v>
      </c>
      <c r="E291" s="12"/>
      <c r="F291" s="12">
        <v>5</v>
      </c>
      <c r="G291" s="11">
        <v>31.21</v>
      </c>
    </row>
    <row r="292" spans="1:10" ht="18.95" customHeight="1" x14ac:dyDescent="0.25">
      <c r="A292" s="36" t="s">
        <v>419</v>
      </c>
      <c r="B292" s="37" t="s">
        <v>454</v>
      </c>
      <c r="C292" s="12">
        <v>2020</v>
      </c>
      <c r="D292" s="12">
        <v>0.4</v>
      </c>
      <c r="E292" s="12"/>
      <c r="F292" s="12">
        <v>5</v>
      </c>
      <c r="G292" s="11">
        <v>31.21</v>
      </c>
    </row>
    <row r="293" spans="1:10" ht="24.6" customHeight="1" x14ac:dyDescent="0.25">
      <c r="A293" s="36" t="s">
        <v>419</v>
      </c>
      <c r="B293" s="37" t="s">
        <v>453</v>
      </c>
      <c r="C293" s="12">
        <v>2020</v>
      </c>
      <c r="D293" s="12">
        <v>0.4</v>
      </c>
      <c r="E293" s="12"/>
      <c r="F293" s="12">
        <v>5</v>
      </c>
      <c r="G293" s="11">
        <v>31.21</v>
      </c>
    </row>
    <row r="294" spans="1:10" x14ac:dyDescent="0.25">
      <c r="A294" s="36" t="s">
        <v>419</v>
      </c>
      <c r="B294" s="37" t="s">
        <v>452</v>
      </c>
      <c r="C294" s="12">
        <v>2020</v>
      </c>
      <c r="D294" s="12">
        <v>0.4</v>
      </c>
      <c r="E294" s="12"/>
      <c r="F294" s="87">
        <v>5</v>
      </c>
      <c r="G294" s="50">
        <v>34.65</v>
      </c>
      <c r="H294" s="134"/>
    </row>
    <row r="295" spans="1:10" x14ac:dyDescent="0.25">
      <c r="A295" s="36" t="s">
        <v>419</v>
      </c>
      <c r="B295" s="37" t="s">
        <v>451</v>
      </c>
      <c r="C295" s="12">
        <v>2020</v>
      </c>
      <c r="D295" s="12">
        <v>0.4</v>
      </c>
      <c r="E295" s="12"/>
      <c r="F295" s="87">
        <v>5</v>
      </c>
      <c r="G295" s="50">
        <v>34.65</v>
      </c>
      <c r="H295" s="134"/>
    </row>
    <row r="296" spans="1:10" ht="19.5" customHeight="1" x14ac:dyDescent="0.25">
      <c r="A296" s="36" t="s">
        <v>419</v>
      </c>
      <c r="B296" s="37" t="s">
        <v>450</v>
      </c>
      <c r="C296" s="12">
        <v>2020</v>
      </c>
      <c r="D296" s="12">
        <v>0.4</v>
      </c>
      <c r="E296" s="12"/>
      <c r="F296" s="87">
        <v>5</v>
      </c>
      <c r="G296" s="50">
        <v>35.32</v>
      </c>
      <c r="H296" s="134"/>
      <c r="I296" s="1" t="s">
        <v>449</v>
      </c>
      <c r="J296" s="1" t="s">
        <v>448</v>
      </c>
    </row>
    <row r="297" spans="1:10" ht="16.5" customHeight="1" x14ac:dyDescent="0.25">
      <c r="A297" s="36" t="s">
        <v>403</v>
      </c>
      <c r="B297" s="37" t="s">
        <v>447</v>
      </c>
      <c r="C297" s="12">
        <v>2020</v>
      </c>
      <c r="D297" s="12">
        <v>0.4</v>
      </c>
      <c r="E297" s="12"/>
      <c r="F297" s="87">
        <v>15</v>
      </c>
      <c r="G297" s="50">
        <v>28.71</v>
      </c>
      <c r="H297" s="134"/>
      <c r="I297" s="1" t="s">
        <v>446</v>
      </c>
    </row>
    <row r="298" spans="1:10" x14ac:dyDescent="0.25">
      <c r="A298" s="36" t="s">
        <v>419</v>
      </c>
      <c r="B298" s="37" t="s">
        <v>445</v>
      </c>
      <c r="C298" s="12">
        <v>2020</v>
      </c>
      <c r="D298" s="12">
        <v>0.4</v>
      </c>
      <c r="E298" s="12"/>
      <c r="F298" s="87">
        <v>5</v>
      </c>
      <c r="G298" s="50">
        <v>19.14</v>
      </c>
      <c r="H298" s="134"/>
    </row>
    <row r="299" spans="1:10" x14ac:dyDescent="0.25">
      <c r="A299" s="36" t="s">
        <v>419</v>
      </c>
      <c r="B299" s="37" t="s">
        <v>444</v>
      </c>
      <c r="C299" s="12">
        <v>2020</v>
      </c>
      <c r="D299" s="12">
        <v>0.4</v>
      </c>
      <c r="E299" s="12"/>
      <c r="F299" s="87">
        <v>95</v>
      </c>
      <c r="G299" s="50">
        <v>49.55</v>
      </c>
      <c r="H299" s="134"/>
    </row>
    <row r="300" spans="1:10" x14ac:dyDescent="0.25">
      <c r="A300" s="36" t="s">
        <v>414</v>
      </c>
      <c r="B300" s="37" t="s">
        <v>443</v>
      </c>
      <c r="C300" s="12">
        <v>2020</v>
      </c>
      <c r="D300" s="12">
        <v>0.4</v>
      </c>
      <c r="E300" s="12"/>
      <c r="F300" s="87">
        <v>40</v>
      </c>
      <c r="G300" s="50">
        <v>8.0299999999999994</v>
      </c>
      <c r="H300" s="134"/>
      <c r="I300" s="1">
        <v>250</v>
      </c>
    </row>
    <row r="301" spans="1:10" x14ac:dyDescent="0.25">
      <c r="A301" s="36" t="s">
        <v>414</v>
      </c>
      <c r="B301" s="37" t="s">
        <v>442</v>
      </c>
      <c r="C301" s="12">
        <v>2020</v>
      </c>
      <c r="D301" s="12">
        <v>0.4</v>
      </c>
      <c r="E301" s="12"/>
      <c r="F301" s="87">
        <v>20</v>
      </c>
      <c r="G301" s="50">
        <v>56.65</v>
      </c>
      <c r="H301" s="134"/>
      <c r="I301" s="1">
        <v>325</v>
      </c>
    </row>
    <row r="302" spans="1:10" x14ac:dyDescent="0.25">
      <c r="A302" s="36" t="s">
        <v>403</v>
      </c>
      <c r="B302" s="37" t="s">
        <v>441</v>
      </c>
      <c r="C302" s="12">
        <v>2020</v>
      </c>
      <c r="D302" s="12">
        <v>0.4</v>
      </c>
      <c r="E302" s="12"/>
      <c r="F302" s="12">
        <v>80</v>
      </c>
      <c r="G302" s="11">
        <v>97.09</v>
      </c>
      <c r="I302" s="1">
        <v>33</v>
      </c>
    </row>
    <row r="303" spans="1:10" x14ac:dyDescent="0.25">
      <c r="A303" s="36" t="s">
        <v>419</v>
      </c>
      <c r="B303" s="37" t="s">
        <v>440</v>
      </c>
      <c r="C303" s="12">
        <v>2020</v>
      </c>
      <c r="D303" s="12">
        <v>0.4</v>
      </c>
      <c r="E303" s="12"/>
      <c r="F303" s="12">
        <v>10</v>
      </c>
      <c r="G303" s="11">
        <v>21.58</v>
      </c>
    </row>
    <row r="304" spans="1:10" ht="18" customHeight="1" x14ac:dyDescent="0.25">
      <c r="A304" s="36" t="s">
        <v>419</v>
      </c>
      <c r="B304" s="37" t="s">
        <v>439</v>
      </c>
      <c r="C304" s="12">
        <v>2020</v>
      </c>
      <c r="D304" s="12">
        <v>0.4</v>
      </c>
      <c r="E304" s="12"/>
      <c r="F304" s="12">
        <v>10</v>
      </c>
      <c r="G304" s="11">
        <v>125.77</v>
      </c>
    </row>
    <row r="305" spans="1:9" ht="19.5" customHeight="1" x14ac:dyDescent="0.25">
      <c r="A305" s="36" t="s">
        <v>414</v>
      </c>
      <c r="B305" s="37" t="s">
        <v>438</v>
      </c>
      <c r="C305" s="12">
        <v>2021</v>
      </c>
      <c r="D305" s="12">
        <v>0.4</v>
      </c>
      <c r="E305" s="12"/>
      <c r="F305" s="12">
        <v>15</v>
      </c>
      <c r="G305" s="11">
        <v>5.4098199999999999</v>
      </c>
      <c r="I305" s="1" t="s">
        <v>437</v>
      </c>
    </row>
    <row r="306" spans="1:9" ht="21.95" customHeight="1" x14ac:dyDescent="0.25">
      <c r="A306" s="36" t="s">
        <v>414</v>
      </c>
      <c r="B306" s="37" t="s">
        <v>233</v>
      </c>
      <c r="C306" s="12">
        <v>2021</v>
      </c>
      <c r="D306" s="12">
        <v>0.4</v>
      </c>
      <c r="E306" s="12"/>
      <c r="F306" s="12">
        <v>15</v>
      </c>
      <c r="G306" s="11">
        <v>13.839700000000001</v>
      </c>
      <c r="I306" s="31" t="s">
        <v>436</v>
      </c>
    </row>
    <row r="307" spans="1:9" ht="18.600000000000001" customHeight="1" x14ac:dyDescent="0.25">
      <c r="A307" s="36" t="s">
        <v>414</v>
      </c>
      <c r="B307" s="37" t="s">
        <v>234</v>
      </c>
      <c r="C307" s="12">
        <v>2021</v>
      </c>
      <c r="D307" s="12">
        <v>0.4</v>
      </c>
      <c r="E307" s="12"/>
      <c r="F307" s="12">
        <v>5</v>
      </c>
      <c r="G307" s="11">
        <v>13.5847</v>
      </c>
      <c r="I307" s="31" t="s">
        <v>435</v>
      </c>
    </row>
    <row r="308" spans="1:9" ht="20.100000000000001" customHeight="1" x14ac:dyDescent="0.25">
      <c r="A308" s="36" t="s">
        <v>414</v>
      </c>
      <c r="B308" s="37" t="s">
        <v>207</v>
      </c>
      <c r="C308" s="12">
        <v>2021</v>
      </c>
      <c r="D308" s="12">
        <v>0.4</v>
      </c>
      <c r="E308" s="12"/>
      <c r="F308" s="12">
        <v>5</v>
      </c>
      <c r="G308" s="11">
        <v>21.691199999999998</v>
      </c>
      <c r="I308" s="31" t="s">
        <v>434</v>
      </c>
    </row>
    <row r="309" spans="1:9" ht="19.5" customHeight="1" x14ac:dyDescent="0.25">
      <c r="A309" s="36" t="s">
        <v>414</v>
      </c>
      <c r="B309" s="37" t="s">
        <v>433</v>
      </c>
      <c r="C309" s="12">
        <v>2021</v>
      </c>
      <c r="D309" s="12">
        <v>0.4</v>
      </c>
      <c r="E309" s="12"/>
      <c r="F309" s="12">
        <v>5</v>
      </c>
      <c r="G309" s="11">
        <v>17.877400000000002</v>
      </c>
      <c r="I309" s="31" t="s">
        <v>432</v>
      </c>
    </row>
    <row r="310" spans="1:9" ht="15" customHeight="1" x14ac:dyDescent="0.25">
      <c r="A310" s="36" t="s">
        <v>414</v>
      </c>
      <c r="B310" s="37" t="s">
        <v>431</v>
      </c>
      <c r="C310" s="12">
        <v>2021</v>
      </c>
      <c r="D310" s="12">
        <v>0.4</v>
      </c>
      <c r="E310" s="12"/>
      <c r="F310" s="12">
        <v>5</v>
      </c>
      <c r="G310" s="11">
        <v>7.9394999999999998</v>
      </c>
      <c r="I310" s="31" t="s">
        <v>430</v>
      </c>
    </row>
    <row r="311" spans="1:9" x14ac:dyDescent="0.25">
      <c r="A311" s="36" t="s">
        <v>414</v>
      </c>
      <c r="B311" s="37" t="s">
        <v>429</v>
      </c>
      <c r="C311" s="12">
        <v>2021</v>
      </c>
      <c r="D311" s="12">
        <v>0.4</v>
      </c>
      <c r="E311" s="12"/>
      <c r="F311" s="12">
        <v>15</v>
      </c>
      <c r="G311" s="11">
        <v>3.4371800000000001</v>
      </c>
      <c r="I311" s="31" t="s">
        <v>428</v>
      </c>
    </row>
    <row r="312" spans="1:9" ht="20.100000000000001" customHeight="1" x14ac:dyDescent="0.25">
      <c r="A312" s="36" t="s">
        <v>419</v>
      </c>
      <c r="B312" s="88" t="s">
        <v>427</v>
      </c>
      <c r="C312" s="12">
        <v>2021</v>
      </c>
      <c r="D312" s="12">
        <v>0.4</v>
      </c>
      <c r="E312" s="12"/>
      <c r="F312" s="12">
        <v>100</v>
      </c>
      <c r="G312" s="11">
        <v>94.165499999999994</v>
      </c>
      <c r="I312" s="31" t="s">
        <v>426</v>
      </c>
    </row>
    <row r="313" spans="1:9" x14ac:dyDescent="0.25">
      <c r="A313" s="36" t="s">
        <v>419</v>
      </c>
      <c r="B313" s="88" t="s">
        <v>425</v>
      </c>
      <c r="C313" s="12">
        <v>2021</v>
      </c>
      <c r="D313" s="12">
        <v>0.4</v>
      </c>
      <c r="E313" s="12"/>
      <c r="F313" s="12">
        <v>130</v>
      </c>
      <c r="G313" s="11">
        <v>4.5707100000000001</v>
      </c>
      <c r="I313" s="31" t="s">
        <v>424</v>
      </c>
    </row>
    <row r="314" spans="1:9" x14ac:dyDescent="0.25">
      <c r="A314" s="36" t="s">
        <v>414</v>
      </c>
      <c r="B314" s="88" t="s">
        <v>423</v>
      </c>
      <c r="C314" s="12">
        <v>2021</v>
      </c>
      <c r="D314" s="12">
        <v>0.4</v>
      </c>
      <c r="E314" s="12"/>
      <c r="F314" s="12">
        <v>50</v>
      </c>
      <c r="G314" s="11">
        <v>9.0050100000000004</v>
      </c>
      <c r="I314" s="31" t="s">
        <v>422</v>
      </c>
    </row>
    <row r="315" spans="1:9" x14ac:dyDescent="0.25">
      <c r="A315" s="36" t="s">
        <v>411</v>
      </c>
      <c r="B315" s="88" t="s">
        <v>421</v>
      </c>
      <c r="C315" s="12">
        <v>2021</v>
      </c>
      <c r="D315" s="12">
        <v>0.4</v>
      </c>
      <c r="E315" s="12"/>
      <c r="F315" s="12">
        <v>70</v>
      </c>
      <c r="G315" s="11">
        <v>128.78399999999999</v>
      </c>
      <c r="I315" s="31" t="s">
        <v>420</v>
      </c>
    </row>
    <row r="316" spans="1:9" x14ac:dyDescent="0.25">
      <c r="A316" s="36" t="s">
        <v>419</v>
      </c>
      <c r="B316" s="88" t="s">
        <v>418</v>
      </c>
      <c r="C316" s="12">
        <v>2021</v>
      </c>
      <c r="D316" s="12">
        <v>0.4</v>
      </c>
      <c r="E316" s="12"/>
      <c r="F316" s="12">
        <v>50</v>
      </c>
      <c r="G316" s="11">
        <v>197.02500000000001</v>
      </c>
      <c r="I316" s="31" t="s">
        <v>417</v>
      </c>
    </row>
    <row r="317" spans="1:9" x14ac:dyDescent="0.25">
      <c r="A317" s="36" t="s">
        <v>403</v>
      </c>
      <c r="B317" s="88" t="s">
        <v>416</v>
      </c>
      <c r="C317" s="12">
        <v>2021</v>
      </c>
      <c r="D317" s="12">
        <v>0.4</v>
      </c>
      <c r="E317" s="12"/>
      <c r="F317" s="12">
        <v>40</v>
      </c>
      <c r="G317" s="11">
        <v>194.535</v>
      </c>
      <c r="I317" s="31" t="s">
        <v>415</v>
      </c>
    </row>
    <row r="318" spans="1:9" x14ac:dyDescent="0.25">
      <c r="A318" s="36" t="s">
        <v>414</v>
      </c>
      <c r="B318" s="88" t="s">
        <v>413</v>
      </c>
      <c r="C318" s="12">
        <v>2021</v>
      </c>
      <c r="D318" s="12">
        <v>0.4</v>
      </c>
      <c r="E318" s="12"/>
      <c r="F318" s="12">
        <v>15</v>
      </c>
      <c r="G318" s="11">
        <v>8.8510600000000004</v>
      </c>
      <c r="I318" s="31" t="s">
        <v>412</v>
      </c>
    </row>
    <row r="319" spans="1:9" ht="21.95" customHeight="1" x14ac:dyDescent="0.25">
      <c r="A319" s="36" t="s">
        <v>411</v>
      </c>
      <c r="B319" s="88" t="s">
        <v>410</v>
      </c>
      <c r="C319" s="12">
        <v>2021</v>
      </c>
      <c r="D319" s="12">
        <v>0.4</v>
      </c>
      <c r="E319" s="12"/>
      <c r="F319" s="12">
        <v>50</v>
      </c>
      <c r="G319" s="11">
        <v>78.105099999999993</v>
      </c>
      <c r="I319" s="31" t="s">
        <v>409</v>
      </c>
    </row>
    <row r="320" spans="1:9" ht="23.45" customHeight="1" x14ac:dyDescent="0.25">
      <c r="A320" s="36" t="s">
        <v>403</v>
      </c>
      <c r="B320" s="88" t="s">
        <v>408</v>
      </c>
      <c r="C320" s="12">
        <v>2021</v>
      </c>
      <c r="D320" s="12">
        <v>0.4</v>
      </c>
      <c r="E320" s="12"/>
      <c r="F320" s="12">
        <v>140</v>
      </c>
      <c r="G320" s="11">
        <v>117.131</v>
      </c>
      <c r="I320" s="31" t="s">
        <v>407</v>
      </c>
    </row>
    <row r="321" spans="1:9" ht="23.1" customHeight="1" x14ac:dyDescent="0.25">
      <c r="A321" s="36" t="s">
        <v>406</v>
      </c>
      <c r="B321" s="88" t="s">
        <v>405</v>
      </c>
      <c r="C321" s="12">
        <v>2021</v>
      </c>
      <c r="D321" s="12">
        <v>0.4</v>
      </c>
      <c r="E321" s="12"/>
      <c r="F321" s="12">
        <v>70</v>
      </c>
      <c r="G321" s="11">
        <v>106.224</v>
      </c>
      <c r="I321" s="31" t="s">
        <v>404</v>
      </c>
    </row>
    <row r="322" spans="1:9" ht="21" customHeight="1" x14ac:dyDescent="0.25">
      <c r="A322" s="36" t="s">
        <v>403</v>
      </c>
      <c r="B322" s="37" t="s">
        <v>402</v>
      </c>
      <c r="C322" s="12">
        <v>2021</v>
      </c>
      <c r="D322" s="12">
        <v>0.4</v>
      </c>
      <c r="E322" s="12"/>
      <c r="F322" s="12">
        <v>200</v>
      </c>
      <c r="G322" s="11">
        <v>130.84299999999999</v>
      </c>
      <c r="I322" s="31" t="s">
        <v>401</v>
      </c>
    </row>
    <row r="323" spans="1:9" ht="21" customHeight="1" x14ac:dyDescent="0.25">
      <c r="A323" s="93" t="s">
        <v>386</v>
      </c>
      <c r="B323" s="94" t="s">
        <v>122</v>
      </c>
      <c r="C323" s="95">
        <v>2022</v>
      </c>
      <c r="D323" s="96">
        <v>0.4</v>
      </c>
      <c r="E323" s="96"/>
      <c r="F323" s="97">
        <v>15</v>
      </c>
      <c r="G323" s="98">
        <f>7748.79</f>
        <v>7748.79</v>
      </c>
      <c r="H323" s="146">
        <f>G323/1000</f>
        <v>7.7487899999999996</v>
      </c>
      <c r="I323" s="31"/>
    </row>
    <row r="324" spans="1:9" ht="21" customHeight="1" x14ac:dyDescent="0.25">
      <c r="A324" s="93" t="s">
        <v>386</v>
      </c>
      <c r="B324" s="94" t="s">
        <v>399</v>
      </c>
      <c r="C324" s="95">
        <v>2022</v>
      </c>
      <c r="D324" s="96">
        <v>0.4</v>
      </c>
      <c r="E324" s="96"/>
      <c r="F324" s="99">
        <v>10</v>
      </c>
      <c r="G324" s="100">
        <v>8595.98</v>
      </c>
      <c r="H324" s="146">
        <f t="shared" ref="H324:H345" si="4">G324/1000</f>
        <v>8.5959799999999991</v>
      </c>
      <c r="I324" s="31"/>
    </row>
    <row r="325" spans="1:9" ht="21" customHeight="1" x14ac:dyDescent="0.25">
      <c r="A325" s="93" t="s">
        <v>386</v>
      </c>
      <c r="B325" s="94" t="s">
        <v>396</v>
      </c>
      <c r="C325" s="95">
        <v>2022</v>
      </c>
      <c r="D325" s="96">
        <v>0.4</v>
      </c>
      <c r="E325" s="96"/>
      <c r="F325" s="97">
        <v>5</v>
      </c>
      <c r="G325" s="98">
        <f>12169.4</f>
        <v>12169.4</v>
      </c>
      <c r="H325" s="146">
        <f t="shared" si="4"/>
        <v>12.1694</v>
      </c>
      <c r="I325" s="31"/>
    </row>
    <row r="326" spans="1:9" ht="21" customHeight="1" x14ac:dyDescent="0.25">
      <c r="A326" s="93" t="s">
        <v>386</v>
      </c>
      <c r="B326" s="94" t="s">
        <v>688</v>
      </c>
      <c r="C326" s="95">
        <v>2022</v>
      </c>
      <c r="D326" s="320">
        <v>0.4</v>
      </c>
      <c r="E326" s="320" t="s">
        <v>334</v>
      </c>
      <c r="F326" s="97">
        <v>15</v>
      </c>
      <c r="G326" s="98">
        <f>(57967.35 /5)/(50+20+15+15)*15</f>
        <v>1739.0204999999999</v>
      </c>
      <c r="H326" s="146">
        <f t="shared" si="4"/>
        <v>1.7390204999999999</v>
      </c>
      <c r="I326" s="31"/>
    </row>
    <row r="327" spans="1:9" ht="21" customHeight="1" x14ac:dyDescent="0.25">
      <c r="A327" s="93" t="s">
        <v>386</v>
      </c>
      <c r="B327" s="94" t="s">
        <v>688</v>
      </c>
      <c r="C327" s="95">
        <v>2022</v>
      </c>
      <c r="D327" s="322"/>
      <c r="E327" s="322"/>
      <c r="F327" s="97">
        <v>15</v>
      </c>
      <c r="G327" s="98">
        <f>(57967.35 /5)/(50+20+15+15)*15</f>
        <v>1739.0204999999999</v>
      </c>
      <c r="H327" s="146">
        <f t="shared" si="4"/>
        <v>1.7390204999999999</v>
      </c>
      <c r="I327" s="31"/>
    </row>
    <row r="328" spans="1:9" ht="21" customHeight="1" x14ac:dyDescent="0.25">
      <c r="A328" s="93" t="s">
        <v>386</v>
      </c>
      <c r="B328" s="94" t="s">
        <v>119</v>
      </c>
      <c r="C328" s="95">
        <v>2022</v>
      </c>
      <c r="D328" s="96">
        <v>0.4</v>
      </c>
      <c r="E328" s="96"/>
      <c r="F328" s="97">
        <v>5</v>
      </c>
      <c r="G328" s="98">
        <f>32485.9/5</f>
        <v>6497.18</v>
      </c>
      <c r="H328" s="146">
        <f t="shared" si="4"/>
        <v>6.4971800000000002</v>
      </c>
      <c r="I328" s="31"/>
    </row>
    <row r="329" spans="1:9" ht="21" customHeight="1" x14ac:dyDescent="0.25">
      <c r="A329" s="93" t="s">
        <v>386</v>
      </c>
      <c r="B329" s="94" t="s">
        <v>119</v>
      </c>
      <c r="C329" s="95">
        <v>2022</v>
      </c>
      <c r="D329" s="96">
        <v>0.4</v>
      </c>
      <c r="E329" s="96"/>
      <c r="F329" s="97">
        <v>5</v>
      </c>
      <c r="G329" s="98">
        <f>32485.9/5</f>
        <v>6497.18</v>
      </c>
      <c r="H329" s="146">
        <f t="shared" si="4"/>
        <v>6.4971800000000002</v>
      </c>
      <c r="I329" s="31"/>
    </row>
    <row r="330" spans="1:9" ht="21" customHeight="1" x14ac:dyDescent="0.25">
      <c r="A330" s="93" t="s">
        <v>386</v>
      </c>
      <c r="B330" s="94" t="s">
        <v>118</v>
      </c>
      <c r="C330" s="95">
        <v>2022</v>
      </c>
      <c r="D330" s="96">
        <v>0.4</v>
      </c>
      <c r="E330" s="96"/>
      <c r="F330" s="97">
        <v>5</v>
      </c>
      <c r="G330" s="98">
        <f>32485.9/5</f>
        <v>6497.18</v>
      </c>
      <c r="H330" s="146">
        <f t="shared" si="4"/>
        <v>6.4971800000000002</v>
      </c>
      <c r="I330" s="31"/>
    </row>
    <row r="331" spans="1:9" ht="21" customHeight="1" x14ac:dyDescent="0.25">
      <c r="A331" s="93" t="s">
        <v>386</v>
      </c>
      <c r="B331" s="94" t="s">
        <v>117</v>
      </c>
      <c r="C331" s="95">
        <v>2022</v>
      </c>
      <c r="D331" s="96">
        <v>0.4</v>
      </c>
      <c r="E331" s="96"/>
      <c r="F331" s="97">
        <v>5</v>
      </c>
      <c r="G331" s="98">
        <f>32485.9/5</f>
        <v>6497.18</v>
      </c>
      <c r="H331" s="146">
        <f t="shared" si="4"/>
        <v>6.4971800000000002</v>
      </c>
      <c r="I331" s="31"/>
    </row>
    <row r="332" spans="1:9" ht="21" customHeight="1" x14ac:dyDescent="0.25">
      <c r="A332" s="93" t="s">
        <v>386</v>
      </c>
      <c r="B332" s="94" t="s">
        <v>393</v>
      </c>
      <c r="C332" s="95">
        <v>2022</v>
      </c>
      <c r="D332" s="96">
        <v>0.4</v>
      </c>
      <c r="E332" s="96"/>
      <c r="F332" s="97">
        <v>2</v>
      </c>
      <c r="G332" s="98">
        <f>32485.9/5</f>
        <v>6497.18</v>
      </c>
      <c r="H332" s="146">
        <f t="shared" si="4"/>
        <v>6.4971800000000002</v>
      </c>
      <c r="I332" s="31"/>
    </row>
    <row r="333" spans="1:9" ht="21" customHeight="1" x14ac:dyDescent="0.25">
      <c r="A333" s="93" t="s">
        <v>386</v>
      </c>
      <c r="B333" s="94" t="s">
        <v>116</v>
      </c>
      <c r="C333" s="95">
        <v>2022</v>
      </c>
      <c r="D333" s="96">
        <v>0.4</v>
      </c>
      <c r="E333" s="96"/>
      <c r="F333" s="97">
        <v>15</v>
      </c>
      <c r="G333" s="98">
        <f>13757.83</f>
        <v>13757.83</v>
      </c>
      <c r="H333" s="146">
        <f t="shared" si="4"/>
        <v>13.75783</v>
      </c>
      <c r="I333" s="31"/>
    </row>
    <row r="334" spans="1:9" ht="21" customHeight="1" x14ac:dyDescent="0.25">
      <c r="A334" s="93" t="s">
        <v>386</v>
      </c>
      <c r="B334" s="94" t="s">
        <v>391</v>
      </c>
      <c r="C334" s="95">
        <v>2022</v>
      </c>
      <c r="D334" s="96">
        <v>0.4</v>
      </c>
      <c r="E334" s="96"/>
      <c r="F334" s="97">
        <v>5</v>
      </c>
      <c r="G334" s="101">
        <f>138080.72 / (100+30+5)*5</f>
        <v>5114.1007407407405</v>
      </c>
      <c r="H334" s="146">
        <f t="shared" si="4"/>
        <v>5.1141007407407404</v>
      </c>
      <c r="I334" s="31"/>
    </row>
    <row r="335" spans="1:9" ht="21" customHeight="1" x14ac:dyDescent="0.25">
      <c r="A335" s="131" t="s">
        <v>719</v>
      </c>
      <c r="B335" s="124" t="s">
        <v>400</v>
      </c>
      <c r="C335" s="122">
        <v>2022</v>
      </c>
      <c r="D335" s="122">
        <v>0.4</v>
      </c>
      <c r="E335" s="122"/>
      <c r="F335" s="124">
        <v>20</v>
      </c>
      <c r="G335" s="132">
        <f>18854.96</f>
        <v>18854.96</v>
      </c>
      <c r="H335" s="146">
        <f>G335/1000</f>
        <v>18.854959999999998</v>
      </c>
      <c r="I335" s="31" t="s">
        <v>711</v>
      </c>
    </row>
    <row r="336" spans="1:9" ht="21" customHeight="1" x14ac:dyDescent="0.25">
      <c r="A336" s="131" t="s">
        <v>719</v>
      </c>
      <c r="B336" s="86" t="s">
        <v>398</v>
      </c>
      <c r="C336" s="120">
        <v>2022</v>
      </c>
      <c r="D336" s="120">
        <v>0.4</v>
      </c>
      <c r="E336" s="120"/>
      <c r="F336" s="86">
        <v>30</v>
      </c>
      <c r="G336" s="121">
        <f>7218.18</f>
        <v>7218.18</v>
      </c>
      <c r="H336" s="146">
        <f t="shared" si="4"/>
        <v>7.2181800000000003</v>
      </c>
      <c r="I336" s="31"/>
    </row>
    <row r="337" spans="1:9" ht="21" customHeight="1" x14ac:dyDescent="0.25">
      <c r="A337" s="131" t="s">
        <v>719</v>
      </c>
      <c r="B337" s="86" t="s">
        <v>397</v>
      </c>
      <c r="C337" s="120">
        <v>2022</v>
      </c>
      <c r="D337" s="120">
        <v>0.4</v>
      </c>
      <c r="E337" s="120"/>
      <c r="F337" s="120">
        <v>25</v>
      </c>
      <c r="G337" s="121">
        <f>12168.17</f>
        <v>12168.17</v>
      </c>
      <c r="H337" s="146">
        <f t="shared" si="4"/>
        <v>12.16817</v>
      </c>
      <c r="I337" s="31"/>
    </row>
    <row r="338" spans="1:9" ht="21" customHeight="1" x14ac:dyDescent="0.25">
      <c r="A338" s="133" t="s">
        <v>720</v>
      </c>
      <c r="B338" s="86" t="s">
        <v>395</v>
      </c>
      <c r="C338" s="120">
        <v>2022</v>
      </c>
      <c r="D338" s="327">
        <v>0.4</v>
      </c>
      <c r="E338" s="327"/>
      <c r="F338" s="327">
        <f>50+20+15+15</f>
        <v>100</v>
      </c>
      <c r="G338" s="121">
        <f>(57967.35 /5)/(50+20+15+15)*50</f>
        <v>5796.7349999999997</v>
      </c>
      <c r="H338" s="146">
        <f t="shared" si="4"/>
        <v>5.796735</v>
      </c>
      <c r="I338" s="31"/>
    </row>
    <row r="339" spans="1:9" ht="21" customHeight="1" x14ac:dyDescent="0.25">
      <c r="A339" s="133" t="s">
        <v>720</v>
      </c>
      <c r="B339" s="86" t="s">
        <v>394</v>
      </c>
      <c r="C339" s="120">
        <v>2022</v>
      </c>
      <c r="D339" s="328"/>
      <c r="E339" s="328"/>
      <c r="F339" s="328"/>
      <c r="G339" s="121">
        <f>(57967.35 /5)/(50+20+15+15)*20</f>
        <v>2318.694</v>
      </c>
      <c r="H339" s="146">
        <f t="shared" si="4"/>
        <v>2.3186939999999998</v>
      </c>
      <c r="I339" s="31"/>
    </row>
    <row r="340" spans="1:9" ht="21" customHeight="1" x14ac:dyDescent="0.25">
      <c r="A340" s="131" t="s">
        <v>719</v>
      </c>
      <c r="B340" s="86" t="s">
        <v>392</v>
      </c>
      <c r="C340" s="120">
        <v>2022</v>
      </c>
      <c r="D340" s="120">
        <v>0.4</v>
      </c>
      <c r="E340" s="120"/>
      <c r="F340" s="86">
        <v>30</v>
      </c>
      <c r="G340" s="121">
        <f>13394.76</f>
        <v>13394.76</v>
      </c>
      <c r="H340" s="146">
        <f t="shared" si="4"/>
        <v>13.39476</v>
      </c>
      <c r="I340" s="31"/>
    </row>
    <row r="341" spans="1:9" ht="21" customHeight="1" x14ac:dyDescent="0.25">
      <c r="A341" s="133" t="s">
        <v>720</v>
      </c>
      <c r="B341" s="86" t="s">
        <v>390</v>
      </c>
      <c r="C341" s="120">
        <v>2022</v>
      </c>
      <c r="D341" s="327">
        <v>0.4</v>
      </c>
      <c r="E341" s="327"/>
      <c r="F341" s="329">
        <f>100+30+5</f>
        <v>135</v>
      </c>
      <c r="G341" s="121">
        <f>138080.72/(100+30+5)*100</f>
        <v>102282.01481481481</v>
      </c>
      <c r="H341" s="146">
        <f t="shared" si="4"/>
        <v>102.28201481481481</v>
      </c>
      <c r="I341" s="31"/>
    </row>
    <row r="342" spans="1:9" ht="21" customHeight="1" x14ac:dyDescent="0.25">
      <c r="A342" s="133" t="s">
        <v>720</v>
      </c>
      <c r="B342" s="86" t="s">
        <v>389</v>
      </c>
      <c r="C342" s="120">
        <v>2022</v>
      </c>
      <c r="D342" s="328"/>
      <c r="E342" s="328"/>
      <c r="F342" s="330"/>
      <c r="G342" s="121">
        <f>138080.72/(100+30+5)*30</f>
        <v>30684.604444444445</v>
      </c>
      <c r="H342" s="146">
        <f t="shared" si="4"/>
        <v>30.684604444444446</v>
      </c>
      <c r="I342" s="31"/>
    </row>
    <row r="343" spans="1:9" ht="21" customHeight="1" x14ac:dyDescent="0.25">
      <c r="A343" s="131" t="s">
        <v>719</v>
      </c>
      <c r="B343" s="86" t="s">
        <v>388</v>
      </c>
      <c r="C343" s="120">
        <v>2022</v>
      </c>
      <c r="D343" s="120">
        <v>0.4</v>
      </c>
      <c r="E343" s="120"/>
      <c r="F343" s="120">
        <v>30</v>
      </c>
      <c r="G343" s="121">
        <f>10178.43</f>
        <v>10178.43</v>
      </c>
      <c r="H343" s="146">
        <f t="shared" si="4"/>
        <v>10.178430000000001</v>
      </c>
      <c r="I343" s="31"/>
    </row>
    <row r="344" spans="1:9" ht="21" customHeight="1" x14ac:dyDescent="0.25">
      <c r="A344" s="131" t="s">
        <v>719</v>
      </c>
      <c r="B344" s="111" t="s">
        <v>387</v>
      </c>
      <c r="C344" s="120">
        <v>2022</v>
      </c>
      <c r="D344" s="120">
        <v>0.4</v>
      </c>
      <c r="E344" s="120"/>
      <c r="F344" s="86">
        <v>60</v>
      </c>
      <c r="G344" s="121">
        <f>140364.77</f>
        <v>140364.76999999999</v>
      </c>
      <c r="H344" s="146">
        <f t="shared" si="4"/>
        <v>140.36476999999999</v>
      </c>
      <c r="I344" s="31"/>
    </row>
    <row r="345" spans="1:9" ht="21" customHeight="1" x14ac:dyDescent="0.25">
      <c r="A345" s="131" t="s">
        <v>719</v>
      </c>
      <c r="B345" s="86" t="s">
        <v>385</v>
      </c>
      <c r="C345" s="120">
        <v>2022</v>
      </c>
      <c r="D345" s="120">
        <v>0.4</v>
      </c>
      <c r="E345" s="120"/>
      <c r="F345" s="86">
        <v>50</v>
      </c>
      <c r="G345" s="121">
        <f>10010.36</f>
        <v>10010.36</v>
      </c>
      <c r="H345" s="146">
        <f t="shared" si="4"/>
        <v>10.01036</v>
      </c>
      <c r="I345" s="31"/>
    </row>
    <row r="346" spans="1:9" ht="47.1" customHeight="1" x14ac:dyDescent="0.25">
      <c r="A346" s="35" t="s">
        <v>384</v>
      </c>
      <c r="B346" s="34" t="s">
        <v>383</v>
      </c>
      <c r="C346" s="33"/>
      <c r="D346" s="17"/>
      <c r="E346" s="33"/>
      <c r="F346" s="17"/>
      <c r="G346" s="32"/>
      <c r="H346" s="135"/>
      <c r="I346" s="31"/>
    </row>
    <row r="347" spans="1:9" s="30" customFormat="1" ht="72.599999999999994" customHeight="1" x14ac:dyDescent="0.25">
      <c r="A347" s="25" t="s">
        <v>382</v>
      </c>
      <c r="B347" s="29" t="s">
        <v>381</v>
      </c>
      <c r="C347" s="13"/>
      <c r="D347" s="12"/>
      <c r="E347" s="13"/>
      <c r="F347" s="12"/>
      <c r="G347" s="11"/>
      <c r="H347" s="2"/>
    </row>
    <row r="348" spans="1:9" ht="39.6" customHeight="1" x14ac:dyDescent="0.25">
      <c r="A348" s="25" t="s">
        <v>380</v>
      </c>
      <c r="B348" s="29" t="s">
        <v>326</v>
      </c>
      <c r="C348" s="13"/>
      <c r="D348" s="12"/>
      <c r="E348" s="13"/>
      <c r="F348" s="12"/>
      <c r="G348" s="11"/>
    </row>
    <row r="349" spans="1:9" ht="139.5" customHeight="1" x14ac:dyDescent="0.25">
      <c r="A349" s="25" t="s">
        <v>379</v>
      </c>
      <c r="B349" s="29" t="s">
        <v>378</v>
      </c>
      <c r="C349" s="13"/>
      <c r="D349" s="12"/>
      <c r="E349" s="13"/>
      <c r="F349" s="12"/>
      <c r="G349" s="50"/>
      <c r="H349" s="134"/>
    </row>
    <row r="350" spans="1:9" ht="39.950000000000003" customHeight="1" x14ac:dyDescent="0.25">
      <c r="A350" s="25" t="s">
        <v>377</v>
      </c>
      <c r="B350" s="29" t="s">
        <v>376</v>
      </c>
      <c r="C350" s="13"/>
      <c r="D350" s="12"/>
      <c r="E350" s="13"/>
      <c r="F350" s="12"/>
      <c r="G350" s="50"/>
      <c r="H350" s="134"/>
      <c r="I350" s="1">
        <v>171</v>
      </c>
    </row>
    <row r="351" spans="1:9" x14ac:dyDescent="0.25">
      <c r="A351" s="28" t="s">
        <v>341</v>
      </c>
      <c r="B351" s="27" t="s">
        <v>375</v>
      </c>
      <c r="C351" s="26">
        <v>2020</v>
      </c>
      <c r="D351" s="26">
        <v>0.4</v>
      </c>
      <c r="E351" s="27"/>
      <c r="F351" s="26">
        <v>235</v>
      </c>
      <c r="G351" s="72">
        <v>910.76</v>
      </c>
      <c r="H351" s="140"/>
      <c r="I351" s="1">
        <v>330</v>
      </c>
    </row>
    <row r="352" spans="1:9" x14ac:dyDescent="0.25">
      <c r="A352" s="25" t="s">
        <v>341</v>
      </c>
      <c r="B352" s="24" t="s">
        <v>374</v>
      </c>
      <c r="C352" s="23">
        <v>2020</v>
      </c>
      <c r="D352" s="23">
        <v>0.4</v>
      </c>
      <c r="E352" s="24"/>
      <c r="F352" s="23">
        <v>235</v>
      </c>
      <c r="G352" s="89">
        <v>852.31</v>
      </c>
      <c r="H352" s="140"/>
      <c r="I352" s="1">
        <v>191</v>
      </c>
    </row>
    <row r="353" spans="1:10" x14ac:dyDescent="0.25">
      <c r="A353" s="22" t="s">
        <v>373</v>
      </c>
      <c r="B353" s="20" t="s">
        <v>372</v>
      </c>
      <c r="C353" s="12">
        <v>2020</v>
      </c>
      <c r="D353" s="12">
        <v>0.4</v>
      </c>
      <c r="E353" s="13"/>
      <c r="F353" s="12">
        <f>400*0.94</f>
        <v>376</v>
      </c>
      <c r="G353" s="50">
        <v>1013.49</v>
      </c>
      <c r="H353" s="134"/>
      <c r="I353" s="1">
        <v>320</v>
      </c>
    </row>
    <row r="354" spans="1:10" x14ac:dyDescent="0.25">
      <c r="A354" s="22" t="s">
        <v>371</v>
      </c>
      <c r="B354" s="20" t="s">
        <v>370</v>
      </c>
      <c r="C354" s="12">
        <v>2020</v>
      </c>
      <c r="D354" s="12">
        <v>0.4</v>
      </c>
      <c r="E354" s="13"/>
      <c r="F354" s="12">
        <f>630*0.94</f>
        <v>592.19999999999993</v>
      </c>
      <c r="G354" s="50">
        <v>1077.1400000000001</v>
      </c>
      <c r="H354" s="134"/>
      <c r="I354" s="1">
        <v>338</v>
      </c>
    </row>
    <row r="355" spans="1:10" x14ac:dyDescent="0.25">
      <c r="A355" s="22" t="s">
        <v>366</v>
      </c>
      <c r="B355" s="20" t="s">
        <v>369</v>
      </c>
      <c r="C355" s="12">
        <v>2020</v>
      </c>
      <c r="D355" s="12">
        <v>0.4</v>
      </c>
      <c r="E355" s="13"/>
      <c r="F355" s="12">
        <f>40*0.94</f>
        <v>37.599999999999994</v>
      </c>
      <c r="G355" s="50">
        <v>284.35000000000002</v>
      </c>
      <c r="H355" s="134"/>
      <c r="I355" s="1">
        <v>325</v>
      </c>
    </row>
    <row r="356" spans="1:10" ht="19.5" customHeight="1" x14ac:dyDescent="0.25">
      <c r="A356" s="22" t="s">
        <v>368</v>
      </c>
      <c r="B356" s="20" t="s">
        <v>367</v>
      </c>
      <c r="C356" s="12">
        <v>2020</v>
      </c>
      <c r="D356" s="12">
        <v>0.4</v>
      </c>
      <c r="E356" s="13"/>
      <c r="F356" s="12">
        <f>250*0.94</f>
        <v>235</v>
      </c>
      <c r="G356" s="11">
        <v>2822.44</v>
      </c>
      <c r="I356" s="1">
        <v>6960.49</v>
      </c>
      <c r="J356" s="1">
        <v>8154.77</v>
      </c>
    </row>
    <row r="357" spans="1:10" ht="22.5" customHeight="1" x14ac:dyDescent="0.25">
      <c r="A357" s="22" t="s">
        <v>366</v>
      </c>
      <c r="B357" s="20" t="s">
        <v>365</v>
      </c>
      <c r="C357" s="12">
        <v>2021</v>
      </c>
      <c r="D357" s="12">
        <v>0.4</v>
      </c>
      <c r="E357" s="13"/>
      <c r="F357" s="12">
        <v>37.6</v>
      </c>
      <c r="G357" s="11">
        <v>274.38499999999999</v>
      </c>
      <c r="I357" s="1" t="s">
        <v>364</v>
      </c>
      <c r="J357" s="1" t="s">
        <v>363</v>
      </c>
    </row>
    <row r="358" spans="1:10" ht="19.5" customHeight="1" x14ac:dyDescent="0.25">
      <c r="A358" s="22" t="s">
        <v>341</v>
      </c>
      <c r="B358" s="20" t="s">
        <v>362</v>
      </c>
      <c r="C358" s="12">
        <v>2021</v>
      </c>
      <c r="D358" s="12">
        <v>0.4</v>
      </c>
      <c r="E358" s="13"/>
      <c r="F358" s="12">
        <v>235</v>
      </c>
      <c r="G358" s="11">
        <v>1006.06</v>
      </c>
      <c r="I358" s="1" t="s">
        <v>361</v>
      </c>
      <c r="J358" s="1" t="s">
        <v>360</v>
      </c>
    </row>
    <row r="359" spans="1:10" ht="18" customHeight="1" x14ac:dyDescent="0.25">
      <c r="A359" s="22" t="s">
        <v>337</v>
      </c>
      <c r="B359" s="20" t="s">
        <v>359</v>
      </c>
      <c r="C359" s="12">
        <v>2021</v>
      </c>
      <c r="D359" s="12">
        <v>0.4</v>
      </c>
      <c r="E359" s="13"/>
      <c r="F359" s="12">
        <v>235</v>
      </c>
      <c r="G359" s="11">
        <v>977.08299999999997</v>
      </c>
      <c r="I359" s="1" t="s">
        <v>358</v>
      </c>
      <c r="J359" s="1" t="s">
        <v>357</v>
      </c>
    </row>
    <row r="360" spans="1:10" ht="18" customHeight="1" x14ac:dyDescent="0.25">
      <c r="A360" s="22" t="s">
        <v>341</v>
      </c>
      <c r="B360" s="20" t="s">
        <v>356</v>
      </c>
      <c r="C360" s="12">
        <v>2020</v>
      </c>
      <c r="D360" s="12">
        <v>0.4</v>
      </c>
      <c r="E360" s="13"/>
      <c r="F360" s="12">
        <v>235</v>
      </c>
      <c r="G360" s="11">
        <v>54.402900000000002</v>
      </c>
      <c r="I360" s="1" t="s">
        <v>355</v>
      </c>
    </row>
    <row r="361" spans="1:10" ht="18" customHeight="1" x14ac:dyDescent="0.25">
      <c r="A361" s="22" t="s">
        <v>337</v>
      </c>
      <c r="B361" s="20" t="s">
        <v>354</v>
      </c>
      <c r="C361" s="12">
        <v>2021</v>
      </c>
      <c r="D361" s="12">
        <v>0.4</v>
      </c>
      <c r="E361" s="13"/>
      <c r="F361" s="12">
        <v>150</v>
      </c>
      <c r="G361" s="11">
        <v>141.39500000000001</v>
      </c>
      <c r="I361" s="1" t="s">
        <v>353</v>
      </c>
      <c r="J361" s="1" t="s">
        <v>352</v>
      </c>
    </row>
    <row r="362" spans="1:10" ht="18" customHeight="1" x14ac:dyDescent="0.25">
      <c r="A362" s="102" t="s">
        <v>341</v>
      </c>
      <c r="B362" s="94" t="s">
        <v>100</v>
      </c>
      <c r="C362" s="95">
        <v>2022</v>
      </c>
      <c r="D362" s="96" t="s">
        <v>339</v>
      </c>
      <c r="E362" s="320" t="s">
        <v>334</v>
      </c>
      <c r="F362" s="323">
        <f>250*0.93</f>
        <v>232.5</v>
      </c>
      <c r="G362" s="98">
        <f>(27010.16+281355.78+602391.67)/(250*0.93)*15</f>
        <v>58758.555483870972</v>
      </c>
      <c r="H362" s="146">
        <f>G362/1000</f>
        <v>58.758555483870971</v>
      </c>
    </row>
    <row r="363" spans="1:10" ht="18" customHeight="1" x14ac:dyDescent="0.25">
      <c r="A363" s="102" t="s">
        <v>341</v>
      </c>
      <c r="B363" s="94" t="s">
        <v>99</v>
      </c>
      <c r="C363" s="95">
        <v>2022</v>
      </c>
      <c r="D363" s="96" t="s">
        <v>339</v>
      </c>
      <c r="E363" s="322"/>
      <c r="F363" s="325"/>
      <c r="G363" s="98">
        <f>(27010.16+281355.78+602391.67)/(250*0.93)*15</f>
        <v>58758.555483870972</v>
      </c>
      <c r="H363" s="146">
        <f t="shared" ref="H363:H383" si="5">G363/1000</f>
        <v>58.758555483870971</v>
      </c>
    </row>
    <row r="364" spans="1:10" ht="18" customHeight="1" x14ac:dyDescent="0.25">
      <c r="A364" s="102" t="s">
        <v>333</v>
      </c>
      <c r="B364" s="94" t="s">
        <v>686</v>
      </c>
      <c r="C364" s="95">
        <v>2022</v>
      </c>
      <c r="D364" s="96" t="s">
        <v>331</v>
      </c>
      <c r="E364" s="103" t="s">
        <v>334</v>
      </c>
      <c r="F364" s="104">
        <f>400*0.94</f>
        <v>376</v>
      </c>
      <c r="G364" s="98">
        <f>1111636.56/(400*0.94)*8</f>
        <v>23651.841702127662</v>
      </c>
      <c r="H364" s="146">
        <f t="shared" si="5"/>
        <v>23.651841702127662</v>
      </c>
    </row>
    <row r="365" spans="1:10" ht="18" customHeight="1" x14ac:dyDescent="0.25">
      <c r="A365" s="102" t="s">
        <v>351</v>
      </c>
      <c r="B365" s="94" t="s">
        <v>98</v>
      </c>
      <c r="C365" s="95">
        <v>2022</v>
      </c>
      <c r="D365" s="96" t="s">
        <v>339</v>
      </c>
      <c r="E365" s="320" t="s">
        <v>334</v>
      </c>
      <c r="F365" s="323">
        <f>100*0.93</f>
        <v>93</v>
      </c>
      <c r="G365" s="98">
        <f>852116.34/(100*0.93)*15</f>
        <v>137438.11935483871</v>
      </c>
      <c r="H365" s="146">
        <f t="shared" si="5"/>
        <v>137.4381193548387</v>
      </c>
    </row>
    <row r="366" spans="1:10" ht="18" customHeight="1" x14ac:dyDescent="0.25">
      <c r="A366" s="102" t="s">
        <v>351</v>
      </c>
      <c r="B366" s="94" t="s">
        <v>97</v>
      </c>
      <c r="C366" s="95">
        <v>2022</v>
      </c>
      <c r="D366" s="96" t="s">
        <v>339</v>
      </c>
      <c r="E366" s="322"/>
      <c r="F366" s="325"/>
      <c r="G366" s="98">
        <f>852116.34/(100*0.93)*15</f>
        <v>137438.11935483871</v>
      </c>
      <c r="H366" s="146">
        <f t="shared" si="5"/>
        <v>137.4381193548387</v>
      </c>
    </row>
    <row r="367" spans="1:10" ht="18" customHeight="1" x14ac:dyDescent="0.25">
      <c r="A367" s="102" t="s">
        <v>341</v>
      </c>
      <c r="B367" s="94" t="s">
        <v>96</v>
      </c>
      <c r="C367" s="95">
        <v>2022</v>
      </c>
      <c r="D367" s="96" t="s">
        <v>339</v>
      </c>
      <c r="E367" s="320" t="s">
        <v>334</v>
      </c>
      <c r="F367" s="323">
        <f>250*0.93</f>
        <v>232.5</v>
      </c>
      <c r="G367" s="98">
        <f>1322720.26/(250*0.93)*15</f>
        <v>85336.790967741937</v>
      </c>
      <c r="H367" s="146">
        <f t="shared" si="5"/>
        <v>85.336790967741933</v>
      </c>
    </row>
    <row r="368" spans="1:10" ht="18" customHeight="1" x14ac:dyDescent="0.25">
      <c r="A368" s="102" t="s">
        <v>341</v>
      </c>
      <c r="B368" s="94" t="s">
        <v>95</v>
      </c>
      <c r="C368" s="95">
        <v>2022</v>
      </c>
      <c r="D368" s="96" t="s">
        <v>339</v>
      </c>
      <c r="E368" s="321"/>
      <c r="F368" s="324"/>
      <c r="G368" s="98">
        <f>1322720.26/(250*0.93)*15</f>
        <v>85336.790967741937</v>
      </c>
      <c r="H368" s="146">
        <f t="shared" si="5"/>
        <v>85.336790967741933</v>
      </c>
    </row>
    <row r="369" spans="1:9" ht="18" customHeight="1" x14ac:dyDescent="0.25">
      <c r="A369" s="102" t="s">
        <v>341</v>
      </c>
      <c r="B369" s="94" t="s">
        <v>94</v>
      </c>
      <c r="C369" s="95">
        <v>2022</v>
      </c>
      <c r="D369" s="96" t="s">
        <v>339</v>
      </c>
      <c r="E369" s="322"/>
      <c r="F369" s="325"/>
      <c r="G369" s="98">
        <f>1322720.26/(250*0.93)*5</f>
        <v>28445.596989247311</v>
      </c>
      <c r="H369" s="146">
        <f t="shared" si="5"/>
        <v>28.44559698924731</v>
      </c>
    </row>
    <row r="370" spans="1:9" ht="18" customHeight="1" x14ac:dyDescent="0.25">
      <c r="A370" s="90" t="s">
        <v>721</v>
      </c>
      <c r="B370" s="91" t="s">
        <v>350</v>
      </c>
      <c r="C370" s="87">
        <v>2022</v>
      </c>
      <c r="D370" s="87" t="s">
        <v>331</v>
      </c>
      <c r="E370" s="92" t="s">
        <v>334</v>
      </c>
      <c r="F370" s="87">
        <v>150.39999999999998</v>
      </c>
      <c r="G370" s="11">
        <v>811248.16128989367</v>
      </c>
      <c r="H370" s="146">
        <f t="shared" si="5"/>
        <v>811.24816128989369</v>
      </c>
      <c r="I370" s="1" t="s">
        <v>711</v>
      </c>
    </row>
    <row r="371" spans="1:9" ht="18" customHeight="1" x14ac:dyDescent="0.25">
      <c r="A371" s="90" t="s">
        <v>721</v>
      </c>
      <c r="B371" s="91" t="s">
        <v>349</v>
      </c>
      <c r="C371" s="87">
        <v>2022</v>
      </c>
      <c r="D371" s="87" t="s">
        <v>331</v>
      </c>
      <c r="E371" s="92" t="s">
        <v>334</v>
      </c>
      <c r="F371" s="87">
        <v>250</v>
      </c>
      <c r="G371" s="11">
        <v>806494.3139999999</v>
      </c>
      <c r="H371" s="146">
        <f t="shared" si="5"/>
        <v>806.49431399999992</v>
      </c>
    </row>
    <row r="372" spans="1:9" ht="18" customHeight="1" x14ac:dyDescent="0.25">
      <c r="A372" s="90" t="s">
        <v>721</v>
      </c>
      <c r="B372" s="91" t="s">
        <v>348</v>
      </c>
      <c r="C372" s="87">
        <v>2022</v>
      </c>
      <c r="D372" s="87" t="s">
        <v>331</v>
      </c>
      <c r="E372" s="92"/>
      <c r="F372" s="87"/>
      <c r="G372" s="11">
        <v>537662.87599999993</v>
      </c>
      <c r="H372" s="146">
        <f t="shared" si="5"/>
        <v>537.66287599999998</v>
      </c>
    </row>
    <row r="373" spans="1:9" ht="18" customHeight="1" x14ac:dyDescent="0.25">
      <c r="A373" s="21" t="s">
        <v>721</v>
      </c>
      <c r="B373" s="20" t="s">
        <v>347</v>
      </c>
      <c r="C373" s="12">
        <v>2022</v>
      </c>
      <c r="D373" s="12" t="s">
        <v>331</v>
      </c>
      <c r="E373" s="13" t="s">
        <v>334</v>
      </c>
      <c r="F373" s="12">
        <v>235</v>
      </c>
      <c r="G373" s="11">
        <v>202790.97021276597</v>
      </c>
      <c r="H373" s="146">
        <f t="shared" si="5"/>
        <v>202.79097021276596</v>
      </c>
    </row>
    <row r="374" spans="1:9" ht="18" customHeight="1" x14ac:dyDescent="0.25">
      <c r="A374" s="21" t="s">
        <v>722</v>
      </c>
      <c r="B374" s="20" t="s">
        <v>346</v>
      </c>
      <c r="C374" s="12">
        <v>2022</v>
      </c>
      <c r="D374" s="12" t="s">
        <v>331</v>
      </c>
      <c r="E374" s="13" t="s">
        <v>334</v>
      </c>
      <c r="F374" s="12">
        <v>376</v>
      </c>
      <c r="G374" s="11">
        <v>147824.01063829788</v>
      </c>
      <c r="H374" s="146">
        <f t="shared" si="5"/>
        <v>147.82401063829789</v>
      </c>
    </row>
    <row r="375" spans="1:9" ht="18" customHeight="1" x14ac:dyDescent="0.25">
      <c r="A375" s="21" t="s">
        <v>722</v>
      </c>
      <c r="B375" s="20" t="s">
        <v>345</v>
      </c>
      <c r="C375" s="12">
        <v>2022</v>
      </c>
      <c r="D375" s="12" t="s">
        <v>331</v>
      </c>
      <c r="E375" s="13"/>
      <c r="F375" s="12"/>
      <c r="G375" s="11">
        <v>443472.03191489365</v>
      </c>
      <c r="H375" s="146">
        <f t="shared" si="5"/>
        <v>443.47203191489365</v>
      </c>
    </row>
    <row r="376" spans="1:9" ht="18" customHeight="1" x14ac:dyDescent="0.25">
      <c r="A376" s="21" t="s">
        <v>722</v>
      </c>
      <c r="B376" s="20" t="s">
        <v>344</v>
      </c>
      <c r="C376" s="12">
        <v>2022</v>
      </c>
      <c r="D376" s="12" t="s">
        <v>331</v>
      </c>
      <c r="E376" s="13"/>
      <c r="F376" s="12"/>
      <c r="G376" s="11">
        <v>443472.03191489365</v>
      </c>
      <c r="H376" s="146">
        <f t="shared" si="5"/>
        <v>443.47203191489365</v>
      </c>
    </row>
    <row r="377" spans="1:9" ht="18" customHeight="1" x14ac:dyDescent="0.25">
      <c r="A377" s="21" t="s">
        <v>723</v>
      </c>
      <c r="B377" s="20" t="s">
        <v>343</v>
      </c>
      <c r="C377" s="12">
        <v>2022</v>
      </c>
      <c r="D377" s="12">
        <v>0.4</v>
      </c>
      <c r="E377" s="13" t="s">
        <v>334</v>
      </c>
      <c r="F377" s="12">
        <v>65</v>
      </c>
      <c r="G377" s="11">
        <v>747342.02925531915</v>
      </c>
      <c r="H377" s="146">
        <f t="shared" si="5"/>
        <v>747.34202925531918</v>
      </c>
    </row>
    <row r="378" spans="1:9" ht="18" customHeight="1" x14ac:dyDescent="0.25">
      <c r="A378" s="21" t="s">
        <v>724</v>
      </c>
      <c r="B378" s="20" t="s">
        <v>342</v>
      </c>
      <c r="C378" s="12">
        <v>2022</v>
      </c>
      <c r="D378" s="12">
        <v>0.4</v>
      </c>
      <c r="E378" s="13" t="s">
        <v>334</v>
      </c>
      <c r="F378" s="12">
        <v>232.5</v>
      </c>
      <c r="G378" s="11">
        <v>853367.90967741935</v>
      </c>
      <c r="H378" s="146">
        <f t="shared" si="5"/>
        <v>853.36790967741933</v>
      </c>
    </row>
    <row r="379" spans="1:9" ht="18" customHeight="1" x14ac:dyDescent="0.25">
      <c r="A379" s="21" t="s">
        <v>724</v>
      </c>
      <c r="B379" s="20" t="s">
        <v>340</v>
      </c>
      <c r="C379" s="12">
        <v>2022</v>
      </c>
      <c r="D379" s="12">
        <v>0.4</v>
      </c>
      <c r="E379" s="13" t="s">
        <v>334</v>
      </c>
      <c r="F379" s="12">
        <v>232.5</v>
      </c>
      <c r="G379" s="11">
        <v>432713.17419354839</v>
      </c>
      <c r="H379" s="146">
        <f t="shared" si="5"/>
        <v>432.71317419354841</v>
      </c>
    </row>
    <row r="380" spans="1:9" ht="18" customHeight="1" x14ac:dyDescent="0.25">
      <c r="A380" s="21" t="s">
        <v>721</v>
      </c>
      <c r="B380" s="20" t="s">
        <v>338</v>
      </c>
      <c r="C380" s="12">
        <v>2022</v>
      </c>
      <c r="D380" s="12">
        <v>0.4</v>
      </c>
      <c r="E380" s="13" t="s">
        <v>334</v>
      </c>
      <c r="F380" s="12">
        <v>150.39999999999998</v>
      </c>
      <c r="G380" s="11">
        <v>913501.10372340446</v>
      </c>
      <c r="H380" s="146">
        <f t="shared" si="5"/>
        <v>913.50110372340441</v>
      </c>
    </row>
    <row r="381" spans="1:9" ht="18" customHeight="1" x14ac:dyDescent="0.25">
      <c r="A381" s="21" t="s">
        <v>721</v>
      </c>
      <c r="B381" s="20" t="s">
        <v>336</v>
      </c>
      <c r="C381" s="12">
        <v>2022</v>
      </c>
      <c r="D381" s="12">
        <v>0.4</v>
      </c>
      <c r="E381" s="13" t="s">
        <v>334</v>
      </c>
      <c r="F381" s="12">
        <v>150.39999999999998</v>
      </c>
      <c r="G381" s="11">
        <v>782227.05452127673</v>
      </c>
      <c r="H381" s="146">
        <f t="shared" si="5"/>
        <v>782.22705452127673</v>
      </c>
    </row>
    <row r="382" spans="1:9" ht="18" customHeight="1" x14ac:dyDescent="0.25">
      <c r="A382" s="21" t="s">
        <v>722</v>
      </c>
      <c r="B382" s="20" t="s">
        <v>335</v>
      </c>
      <c r="C382" s="12">
        <v>2022</v>
      </c>
      <c r="D382" s="12" t="s">
        <v>331</v>
      </c>
      <c r="E382" s="13" t="s">
        <v>334</v>
      </c>
      <c r="F382" s="12">
        <v>376</v>
      </c>
      <c r="G382" s="11">
        <v>558533.98005319154</v>
      </c>
      <c r="H382" s="146">
        <f t="shared" si="5"/>
        <v>558.5339800531915</v>
      </c>
    </row>
    <row r="383" spans="1:9" ht="18" customHeight="1" x14ac:dyDescent="0.25">
      <c r="A383" s="21" t="s">
        <v>722</v>
      </c>
      <c r="B383" s="20" t="s">
        <v>332</v>
      </c>
      <c r="C383" s="12">
        <v>2022</v>
      </c>
      <c r="D383" s="12"/>
      <c r="E383" s="13"/>
      <c r="F383" s="12"/>
      <c r="G383" s="11">
        <v>558533.98005319154</v>
      </c>
      <c r="H383" s="146">
        <f t="shared" si="5"/>
        <v>558.5339800531915</v>
      </c>
    </row>
    <row r="384" spans="1:9" ht="43.5" customHeight="1" x14ac:dyDescent="0.25">
      <c r="A384" s="19">
        <v>7</v>
      </c>
      <c r="B384" s="18" t="s">
        <v>330</v>
      </c>
      <c r="C384" s="12"/>
      <c r="D384" s="12"/>
      <c r="E384" s="13"/>
      <c r="F384" s="12"/>
      <c r="G384" s="11"/>
    </row>
    <row r="385" spans="1:11" ht="47.25" x14ac:dyDescent="0.25">
      <c r="A385" s="12" t="s">
        <v>329</v>
      </c>
      <c r="B385" s="14" t="s">
        <v>328</v>
      </c>
      <c r="C385" s="12"/>
      <c r="D385" s="12"/>
      <c r="E385" s="13"/>
      <c r="F385" s="12"/>
      <c r="G385" s="11"/>
    </row>
    <row r="386" spans="1:11" ht="31.5" x14ac:dyDescent="0.25">
      <c r="A386" s="12" t="s">
        <v>327</v>
      </c>
      <c r="B386" s="14" t="s">
        <v>326</v>
      </c>
      <c r="C386" s="12"/>
      <c r="D386" s="12"/>
      <c r="E386" s="13"/>
      <c r="F386" s="12"/>
      <c r="G386" s="11"/>
    </row>
    <row r="387" spans="1:11" ht="141.75" x14ac:dyDescent="0.25">
      <c r="A387" s="12" t="s">
        <v>325</v>
      </c>
      <c r="B387" s="14" t="s">
        <v>324</v>
      </c>
      <c r="C387" s="12"/>
      <c r="D387" s="12"/>
      <c r="E387" s="13"/>
      <c r="F387" s="12"/>
      <c r="G387" s="11"/>
    </row>
    <row r="388" spans="1:11" ht="18" customHeight="1" x14ac:dyDescent="0.25">
      <c r="A388" s="12" t="s">
        <v>323</v>
      </c>
      <c r="B388" s="14" t="s">
        <v>322</v>
      </c>
      <c r="C388" s="12"/>
      <c r="D388" s="12"/>
      <c r="E388" s="13"/>
      <c r="F388" s="12"/>
      <c r="G388" s="11"/>
    </row>
    <row r="389" spans="1:11" ht="31.5" x14ac:dyDescent="0.25">
      <c r="A389" s="17">
        <v>8</v>
      </c>
      <c r="B389" s="16" t="s">
        <v>321</v>
      </c>
      <c r="C389" s="12"/>
      <c r="D389" s="12"/>
      <c r="E389" s="13"/>
      <c r="F389" s="12"/>
      <c r="G389" s="11"/>
    </row>
    <row r="390" spans="1:11" ht="31.5" x14ac:dyDescent="0.25">
      <c r="A390" s="12" t="s">
        <v>320</v>
      </c>
      <c r="B390" s="14" t="s">
        <v>319</v>
      </c>
      <c r="C390" s="12"/>
      <c r="D390" s="12"/>
      <c r="E390" s="13"/>
      <c r="F390" s="12"/>
      <c r="G390" s="11"/>
    </row>
    <row r="391" spans="1:11" ht="110.25" x14ac:dyDescent="0.25">
      <c r="A391" s="12" t="s">
        <v>318</v>
      </c>
      <c r="B391" s="14" t="s">
        <v>317</v>
      </c>
      <c r="C391" s="12"/>
      <c r="D391" s="12"/>
      <c r="E391" s="13"/>
      <c r="F391" s="12"/>
      <c r="G391" s="11"/>
    </row>
    <row r="392" spans="1:11" x14ac:dyDescent="0.25">
      <c r="A392" s="12" t="s">
        <v>316</v>
      </c>
      <c r="B392" s="14" t="s">
        <v>315</v>
      </c>
      <c r="C392" s="12"/>
      <c r="D392" s="12"/>
      <c r="E392" s="13"/>
      <c r="F392" s="12"/>
      <c r="G392" s="11"/>
    </row>
    <row r="393" spans="1:11" ht="47.25" x14ac:dyDescent="0.25">
      <c r="A393" s="17" t="s">
        <v>314</v>
      </c>
      <c r="B393" s="16" t="s">
        <v>313</v>
      </c>
      <c r="C393" s="13"/>
      <c r="D393" s="12"/>
      <c r="E393" s="13"/>
      <c r="F393" s="12"/>
      <c r="G393" s="11"/>
    </row>
    <row r="394" spans="1:11" ht="33" customHeight="1" x14ac:dyDescent="0.25">
      <c r="A394" s="12" t="s">
        <v>312</v>
      </c>
      <c r="B394" s="14" t="s">
        <v>311</v>
      </c>
      <c r="C394" s="13"/>
      <c r="D394" s="12"/>
      <c r="E394" s="13"/>
      <c r="F394" s="12"/>
      <c r="G394" s="11"/>
    </row>
    <row r="395" spans="1:11" ht="35.25" customHeight="1" x14ac:dyDescent="0.25">
      <c r="A395" s="12" t="s">
        <v>310</v>
      </c>
      <c r="B395" s="14" t="s">
        <v>309</v>
      </c>
      <c r="C395" s="13"/>
      <c r="D395" s="12"/>
      <c r="E395" s="13"/>
      <c r="F395" s="12"/>
      <c r="G395" s="11"/>
      <c r="I395" s="15">
        <v>12729.13</v>
      </c>
      <c r="J395" s="1">
        <v>1000</v>
      </c>
      <c r="K395" s="1">
        <f>G396*J395</f>
        <v>12730</v>
      </c>
    </row>
    <row r="396" spans="1:11" x14ac:dyDescent="0.25">
      <c r="A396" s="12" t="s">
        <v>5</v>
      </c>
      <c r="B396" s="14" t="s">
        <v>308</v>
      </c>
      <c r="C396" s="12">
        <v>2020</v>
      </c>
      <c r="D396" s="12">
        <v>0.4</v>
      </c>
      <c r="E396" s="13"/>
      <c r="F396" s="12">
        <v>5</v>
      </c>
      <c r="G396" s="11">
        <v>12.73</v>
      </c>
      <c r="I396" s="1">
        <v>27961.040000000001</v>
      </c>
      <c r="J396" s="1">
        <v>1000</v>
      </c>
    </row>
    <row r="397" spans="1:11" x14ac:dyDescent="0.25">
      <c r="A397" s="12" t="s">
        <v>13</v>
      </c>
      <c r="B397" s="14" t="s">
        <v>307</v>
      </c>
      <c r="C397" s="12">
        <v>2020</v>
      </c>
      <c r="D397" s="12">
        <v>0.4</v>
      </c>
      <c r="E397" s="13"/>
      <c r="F397" s="12">
        <v>15</v>
      </c>
      <c r="G397" s="11">
        <v>27.96</v>
      </c>
      <c r="I397" s="1">
        <v>16197.9</v>
      </c>
      <c r="J397" s="1">
        <v>1000</v>
      </c>
    </row>
    <row r="398" spans="1:11" x14ac:dyDescent="0.25">
      <c r="A398" s="12" t="s">
        <v>13</v>
      </c>
      <c r="B398" s="14" t="s">
        <v>306</v>
      </c>
      <c r="C398" s="12">
        <v>2020</v>
      </c>
      <c r="D398" s="12">
        <v>0.4</v>
      </c>
      <c r="E398" s="13"/>
      <c r="F398" s="12">
        <v>15</v>
      </c>
      <c r="G398" s="11">
        <v>16.2</v>
      </c>
      <c r="I398" s="1">
        <v>7380.55</v>
      </c>
      <c r="J398" s="1">
        <v>1000</v>
      </c>
    </row>
    <row r="399" spans="1:11" x14ac:dyDescent="0.25">
      <c r="A399" s="12" t="s">
        <v>5</v>
      </c>
      <c r="B399" s="14" t="s">
        <v>305</v>
      </c>
      <c r="C399" s="12">
        <v>2020</v>
      </c>
      <c r="D399" s="12">
        <v>0.4</v>
      </c>
      <c r="E399" s="13"/>
      <c r="F399" s="12">
        <v>5</v>
      </c>
      <c r="G399" s="11">
        <v>7.38</v>
      </c>
      <c r="I399" s="1">
        <v>21303.94</v>
      </c>
      <c r="J399" s="1">
        <v>1000</v>
      </c>
    </row>
    <row r="400" spans="1:11" x14ac:dyDescent="0.25">
      <c r="A400" s="12" t="s">
        <v>13</v>
      </c>
      <c r="B400" s="14" t="s">
        <v>304</v>
      </c>
      <c r="C400" s="12">
        <v>2020</v>
      </c>
      <c r="D400" s="12">
        <v>0.4</v>
      </c>
      <c r="E400" s="13"/>
      <c r="F400" s="12">
        <v>15</v>
      </c>
      <c r="G400" s="11">
        <v>21.64</v>
      </c>
      <c r="I400" s="1">
        <v>21643.1</v>
      </c>
      <c r="J400" s="1">
        <v>1000</v>
      </c>
    </row>
    <row r="401" spans="1:10" x14ac:dyDescent="0.25">
      <c r="A401" s="12" t="s">
        <v>13</v>
      </c>
      <c r="B401" s="14" t="s">
        <v>303</v>
      </c>
      <c r="C401" s="12">
        <v>2020</v>
      </c>
      <c r="D401" s="12">
        <v>0.4</v>
      </c>
      <c r="E401" s="13"/>
      <c r="F401" s="12">
        <v>15</v>
      </c>
      <c r="G401" s="11">
        <v>21.3</v>
      </c>
      <c r="I401" s="1">
        <v>11660.7</v>
      </c>
      <c r="J401" s="1">
        <v>1000</v>
      </c>
    </row>
    <row r="402" spans="1:10" x14ac:dyDescent="0.25">
      <c r="A402" s="12" t="s">
        <v>5</v>
      </c>
      <c r="B402" s="14" t="s">
        <v>302</v>
      </c>
      <c r="C402" s="12">
        <v>2020</v>
      </c>
      <c r="D402" s="12">
        <v>0.4</v>
      </c>
      <c r="E402" s="13"/>
      <c r="F402" s="12">
        <v>5</v>
      </c>
      <c r="G402" s="11">
        <v>11.66</v>
      </c>
      <c r="I402" s="1">
        <v>11660.7</v>
      </c>
      <c r="J402" s="1">
        <v>1000</v>
      </c>
    </row>
    <row r="403" spans="1:10" x14ac:dyDescent="0.25">
      <c r="A403" s="12" t="s">
        <v>5</v>
      </c>
      <c r="B403" s="14" t="s">
        <v>301</v>
      </c>
      <c r="C403" s="12">
        <v>2020</v>
      </c>
      <c r="D403" s="12">
        <v>0.4</v>
      </c>
      <c r="E403" s="13"/>
      <c r="F403" s="12">
        <v>5</v>
      </c>
      <c r="G403" s="11">
        <v>11.66</v>
      </c>
      <c r="I403" s="1">
        <v>13351.58</v>
      </c>
      <c r="J403" s="1">
        <v>1000</v>
      </c>
    </row>
    <row r="404" spans="1:10" x14ac:dyDescent="0.25">
      <c r="A404" s="12" t="s">
        <v>9</v>
      </c>
      <c r="B404" s="14" t="s">
        <v>300</v>
      </c>
      <c r="C404" s="12">
        <v>2020</v>
      </c>
      <c r="D404" s="12">
        <v>0.4</v>
      </c>
      <c r="E404" s="13"/>
      <c r="F404" s="12">
        <v>50</v>
      </c>
      <c r="G404" s="11">
        <v>13.35</v>
      </c>
      <c r="I404" s="1">
        <v>15126.54</v>
      </c>
      <c r="J404" s="1">
        <v>1000</v>
      </c>
    </row>
    <row r="405" spans="1:10" x14ac:dyDescent="0.25">
      <c r="A405" s="12" t="s">
        <v>5</v>
      </c>
      <c r="B405" s="14" t="s">
        <v>299</v>
      </c>
      <c r="C405" s="12">
        <v>2020</v>
      </c>
      <c r="D405" s="12">
        <v>0.4</v>
      </c>
      <c r="E405" s="13"/>
      <c r="F405" s="12">
        <v>5</v>
      </c>
      <c r="G405" s="11">
        <v>15.13</v>
      </c>
      <c r="I405" s="1">
        <v>14272.14</v>
      </c>
      <c r="J405" s="1">
        <v>1000</v>
      </c>
    </row>
    <row r="406" spans="1:10" x14ac:dyDescent="0.25">
      <c r="A406" s="12" t="s">
        <v>5</v>
      </c>
      <c r="B406" s="14" t="s">
        <v>298</v>
      </c>
      <c r="C406" s="12">
        <v>2020</v>
      </c>
      <c r="D406" s="12">
        <v>0.4</v>
      </c>
      <c r="E406" s="13"/>
      <c r="F406" s="12">
        <v>5</v>
      </c>
      <c r="G406" s="11">
        <v>14.27</v>
      </c>
    </row>
    <row r="407" spans="1:10" x14ac:dyDescent="0.25">
      <c r="A407" s="12" t="s">
        <v>13</v>
      </c>
      <c r="B407" s="14" t="s">
        <v>297</v>
      </c>
      <c r="C407" s="12">
        <v>2021</v>
      </c>
      <c r="D407" s="12">
        <v>0.4</v>
      </c>
      <c r="E407" s="13"/>
      <c r="F407" s="12">
        <v>15</v>
      </c>
      <c r="G407" s="11">
        <f>22046.25/1000</f>
        <v>22.046250000000001</v>
      </c>
      <c r="I407" s="1" t="s">
        <v>296</v>
      </c>
    </row>
    <row r="408" spans="1:10" x14ac:dyDescent="0.25">
      <c r="A408" s="12" t="s">
        <v>5</v>
      </c>
      <c r="B408" s="14" t="s">
        <v>295</v>
      </c>
      <c r="C408" s="12">
        <v>2021</v>
      </c>
      <c r="D408" s="12">
        <v>0.4</v>
      </c>
      <c r="E408" s="13"/>
      <c r="F408" s="12">
        <v>5</v>
      </c>
      <c r="G408" s="11">
        <f>13092.91/1000</f>
        <v>13.09291</v>
      </c>
    </row>
    <row r="409" spans="1:10" x14ac:dyDescent="0.25">
      <c r="A409" s="12" t="s">
        <v>13</v>
      </c>
      <c r="B409" s="14" t="s">
        <v>294</v>
      </c>
      <c r="C409" s="12">
        <v>2021</v>
      </c>
      <c r="D409" s="12">
        <v>0.4</v>
      </c>
      <c r="E409" s="13"/>
      <c r="F409" s="12">
        <v>15</v>
      </c>
      <c r="G409" s="11">
        <f>23559.17/1000</f>
        <v>23.559169999999998</v>
      </c>
    </row>
    <row r="410" spans="1:10" x14ac:dyDescent="0.25">
      <c r="A410" s="12" t="s">
        <v>5</v>
      </c>
      <c r="B410" s="14" t="s">
        <v>293</v>
      </c>
      <c r="C410" s="12">
        <v>2021</v>
      </c>
      <c r="D410" s="12">
        <v>0.4</v>
      </c>
      <c r="E410" s="13"/>
      <c r="F410" s="12">
        <v>15</v>
      </c>
      <c r="G410" s="11">
        <f>23331.25/1000</f>
        <v>23.331250000000001</v>
      </c>
      <c r="I410" s="15"/>
    </row>
    <row r="411" spans="1:10" x14ac:dyDescent="0.25">
      <c r="A411" s="12" t="s">
        <v>5</v>
      </c>
      <c r="B411" s="14" t="s">
        <v>292</v>
      </c>
      <c r="C411" s="12">
        <v>2021</v>
      </c>
      <c r="D411" s="12">
        <v>0.4</v>
      </c>
      <c r="E411" s="13"/>
      <c r="F411" s="12">
        <v>5</v>
      </c>
      <c r="G411" s="11">
        <f>13029.88/1000</f>
        <v>13.029879999999999</v>
      </c>
    </row>
    <row r="412" spans="1:10" x14ac:dyDescent="0.25">
      <c r="A412" s="12" t="s">
        <v>5</v>
      </c>
      <c r="B412" s="14" t="s">
        <v>291</v>
      </c>
      <c r="C412" s="12">
        <v>2021</v>
      </c>
      <c r="D412" s="12">
        <v>0.4</v>
      </c>
      <c r="E412" s="13"/>
      <c r="F412" s="12">
        <v>5</v>
      </c>
      <c r="G412" s="11">
        <f>13075.41/1000</f>
        <v>13.07541</v>
      </c>
    </row>
    <row r="413" spans="1:10" x14ac:dyDescent="0.25">
      <c r="A413" s="12" t="s">
        <v>13</v>
      </c>
      <c r="B413" s="14" t="s">
        <v>290</v>
      </c>
      <c r="C413" s="12">
        <v>2021</v>
      </c>
      <c r="D413" s="12">
        <v>0.4</v>
      </c>
      <c r="E413" s="13"/>
      <c r="F413" s="12">
        <v>15</v>
      </c>
      <c r="G413" s="11">
        <f>23218.75/1000</f>
        <v>23.21875</v>
      </c>
    </row>
    <row r="414" spans="1:10" x14ac:dyDescent="0.25">
      <c r="A414" s="12" t="s">
        <v>5</v>
      </c>
      <c r="B414" s="14" t="s">
        <v>289</v>
      </c>
      <c r="C414" s="12">
        <v>2021</v>
      </c>
      <c r="D414" s="12">
        <v>0.4</v>
      </c>
      <c r="E414" s="13"/>
      <c r="F414" s="12">
        <v>5</v>
      </c>
      <c r="G414" s="11">
        <f>13259.99/1000</f>
        <v>13.25999</v>
      </c>
    </row>
    <row r="415" spans="1:10" x14ac:dyDescent="0.25">
      <c r="A415" s="12" t="s">
        <v>13</v>
      </c>
      <c r="B415" s="14" t="s">
        <v>288</v>
      </c>
      <c r="C415" s="12">
        <v>2021</v>
      </c>
      <c r="D415" s="12">
        <v>0.4</v>
      </c>
      <c r="E415" s="13"/>
      <c r="F415" s="12">
        <v>15</v>
      </c>
      <c r="G415" s="11">
        <f>21174.17/1000</f>
        <v>21.174169999999997</v>
      </c>
    </row>
    <row r="416" spans="1:10" x14ac:dyDescent="0.25">
      <c r="A416" s="12" t="s">
        <v>13</v>
      </c>
      <c r="B416" s="14" t="s">
        <v>287</v>
      </c>
      <c r="C416" s="12">
        <v>2021</v>
      </c>
      <c r="D416" s="12">
        <v>0.4</v>
      </c>
      <c r="E416" s="13"/>
      <c r="F416" s="12">
        <v>15</v>
      </c>
      <c r="G416" s="11">
        <f>23277.08/1000</f>
        <v>23.277080000000002</v>
      </c>
    </row>
    <row r="417" spans="1:7" x14ac:dyDescent="0.25">
      <c r="A417" s="12" t="s">
        <v>13</v>
      </c>
      <c r="B417" s="14" t="s">
        <v>286</v>
      </c>
      <c r="C417" s="12">
        <v>2021</v>
      </c>
      <c r="D417" s="12">
        <v>0.4</v>
      </c>
      <c r="E417" s="13"/>
      <c r="F417" s="12">
        <v>15</v>
      </c>
      <c r="G417" s="11">
        <f>23576.66/1000</f>
        <v>23.57666</v>
      </c>
    </row>
    <row r="418" spans="1:7" x14ac:dyDescent="0.25">
      <c r="A418" s="12" t="s">
        <v>5</v>
      </c>
      <c r="B418" s="14" t="s">
        <v>132</v>
      </c>
      <c r="C418" s="12">
        <v>2021</v>
      </c>
      <c r="D418" s="12">
        <v>0.4</v>
      </c>
      <c r="E418" s="13"/>
      <c r="F418" s="12">
        <v>5</v>
      </c>
      <c r="G418" s="11">
        <f>16339.79/1000</f>
        <v>16.339790000000001</v>
      </c>
    </row>
    <row r="419" spans="1:7" x14ac:dyDescent="0.25">
      <c r="A419" s="12" t="s">
        <v>5</v>
      </c>
      <c r="B419" s="14" t="s">
        <v>285</v>
      </c>
      <c r="C419" s="12">
        <v>2021</v>
      </c>
      <c r="D419" s="12">
        <v>0.4</v>
      </c>
      <c r="E419" s="13"/>
      <c r="F419" s="12">
        <v>5</v>
      </c>
      <c r="G419" s="11">
        <f>12942.51/1000</f>
        <v>12.94251</v>
      </c>
    </row>
    <row r="420" spans="1:7" x14ac:dyDescent="0.25">
      <c r="A420" s="12" t="s">
        <v>13</v>
      </c>
      <c r="B420" s="14" t="s">
        <v>284</v>
      </c>
      <c r="C420" s="12">
        <v>2021</v>
      </c>
      <c r="D420" s="12">
        <v>0.4</v>
      </c>
      <c r="E420" s="13"/>
      <c r="F420" s="12">
        <v>15</v>
      </c>
      <c r="G420" s="11">
        <f>19999.58/1000</f>
        <v>19.999580000000002</v>
      </c>
    </row>
    <row r="421" spans="1:7" x14ac:dyDescent="0.25">
      <c r="A421" s="12" t="s">
        <v>13</v>
      </c>
      <c r="B421" s="14" t="s">
        <v>283</v>
      </c>
      <c r="C421" s="12">
        <v>2021</v>
      </c>
      <c r="D421" s="12">
        <v>0.4</v>
      </c>
      <c r="E421" s="13"/>
      <c r="F421" s="12">
        <v>15</v>
      </c>
      <c r="G421" s="11">
        <f>23366.24/1000</f>
        <v>23.366240000000001</v>
      </c>
    </row>
    <row r="422" spans="1:7" x14ac:dyDescent="0.25">
      <c r="A422" s="12" t="s">
        <v>13</v>
      </c>
      <c r="B422" s="14" t="s">
        <v>282</v>
      </c>
      <c r="C422" s="12">
        <v>2021</v>
      </c>
      <c r="D422" s="12">
        <v>0.4</v>
      </c>
      <c r="E422" s="13"/>
      <c r="F422" s="12">
        <v>14</v>
      </c>
      <c r="G422" s="11">
        <f>21400.84/1000</f>
        <v>21.400839999999999</v>
      </c>
    </row>
    <row r="423" spans="1:7" x14ac:dyDescent="0.25">
      <c r="A423" s="12" t="s">
        <v>13</v>
      </c>
      <c r="B423" s="14" t="s">
        <v>281</v>
      </c>
      <c r="C423" s="12">
        <v>2021</v>
      </c>
      <c r="D423" s="12">
        <v>0.4</v>
      </c>
      <c r="E423" s="13"/>
      <c r="F423" s="12">
        <v>15</v>
      </c>
      <c r="G423" s="11">
        <f>21460.83/1000</f>
        <v>21.460830000000001</v>
      </c>
    </row>
    <row r="424" spans="1:7" x14ac:dyDescent="0.25">
      <c r="A424" s="12" t="s">
        <v>13</v>
      </c>
      <c r="B424" s="14" t="s">
        <v>280</v>
      </c>
      <c r="C424" s="12">
        <v>2021</v>
      </c>
      <c r="D424" s="12">
        <v>0.4</v>
      </c>
      <c r="E424" s="13"/>
      <c r="F424" s="12">
        <v>15</v>
      </c>
      <c r="G424" s="11">
        <v>23.460699999999999</v>
      </c>
    </row>
    <row r="425" spans="1:7" x14ac:dyDescent="0.25">
      <c r="A425" s="12" t="s">
        <v>13</v>
      </c>
      <c r="B425" s="14" t="s">
        <v>279</v>
      </c>
      <c r="C425" s="12">
        <v>2021</v>
      </c>
      <c r="D425" s="12">
        <v>0.4</v>
      </c>
      <c r="E425" s="13"/>
      <c r="F425" s="12">
        <v>15</v>
      </c>
      <c r="G425" s="11">
        <v>13.135400000000001</v>
      </c>
    </row>
    <row r="426" spans="1:7" x14ac:dyDescent="0.25">
      <c r="A426" s="12" t="s">
        <v>5</v>
      </c>
      <c r="B426" s="14" t="s">
        <v>278</v>
      </c>
      <c r="C426" s="12">
        <v>2021</v>
      </c>
      <c r="D426" s="12">
        <v>0.4</v>
      </c>
      <c r="E426" s="13"/>
      <c r="F426" s="12">
        <v>5</v>
      </c>
      <c r="G426" s="11">
        <v>7.3806700000000003</v>
      </c>
    </row>
    <row r="427" spans="1:7" x14ac:dyDescent="0.25">
      <c r="A427" s="12" t="s">
        <v>13</v>
      </c>
      <c r="B427" s="14" t="s">
        <v>277</v>
      </c>
      <c r="C427" s="12">
        <v>2021</v>
      </c>
      <c r="D427" s="12">
        <v>0.4</v>
      </c>
      <c r="E427" s="13"/>
      <c r="F427" s="12">
        <v>15</v>
      </c>
      <c r="G427" s="11">
        <v>26.1264</v>
      </c>
    </row>
    <row r="428" spans="1:7" x14ac:dyDescent="0.25">
      <c r="A428" s="12" t="s">
        <v>5</v>
      </c>
      <c r="B428" s="14" t="s">
        <v>276</v>
      </c>
      <c r="C428" s="12">
        <v>2021</v>
      </c>
      <c r="D428" s="12">
        <v>0.4</v>
      </c>
      <c r="E428" s="13"/>
      <c r="F428" s="12">
        <v>10</v>
      </c>
      <c r="G428" s="11">
        <v>13.1447</v>
      </c>
    </row>
    <row r="429" spans="1:7" x14ac:dyDescent="0.25">
      <c r="A429" s="12" t="s">
        <v>5</v>
      </c>
      <c r="B429" s="14" t="s">
        <v>275</v>
      </c>
      <c r="C429" s="12">
        <v>2021</v>
      </c>
      <c r="D429" s="12">
        <v>0.4</v>
      </c>
      <c r="E429" s="13"/>
      <c r="F429" s="12">
        <v>5</v>
      </c>
      <c r="G429" s="11">
        <v>13.1892</v>
      </c>
    </row>
    <row r="430" spans="1:7" x14ac:dyDescent="0.25">
      <c r="A430" s="12" t="s">
        <v>13</v>
      </c>
      <c r="B430" s="14" t="s">
        <v>274</v>
      </c>
      <c r="C430" s="12">
        <v>2021</v>
      </c>
      <c r="D430" s="12">
        <v>0.4</v>
      </c>
      <c r="E430" s="13"/>
      <c r="F430" s="12">
        <v>15</v>
      </c>
      <c r="G430" s="11">
        <v>23.023700000000002</v>
      </c>
    </row>
    <row r="431" spans="1:7" x14ac:dyDescent="0.25">
      <c r="A431" s="12" t="s">
        <v>5</v>
      </c>
      <c r="B431" s="14" t="s">
        <v>273</v>
      </c>
      <c r="C431" s="12">
        <v>2021</v>
      </c>
      <c r="D431" s="12">
        <v>0.4</v>
      </c>
      <c r="E431" s="13"/>
      <c r="F431" s="12">
        <v>5</v>
      </c>
      <c r="G431" s="11">
        <v>13.032500000000001</v>
      </c>
    </row>
    <row r="432" spans="1:7" x14ac:dyDescent="0.25">
      <c r="A432" s="12" t="s">
        <v>13</v>
      </c>
      <c r="B432" s="14" t="s">
        <v>272</v>
      </c>
      <c r="C432" s="12">
        <v>2021</v>
      </c>
      <c r="D432" s="12">
        <v>0.4</v>
      </c>
      <c r="E432" s="13"/>
      <c r="F432" s="12">
        <v>15</v>
      </c>
      <c r="G432" s="11">
        <v>13.0221</v>
      </c>
    </row>
    <row r="433" spans="1:7" x14ac:dyDescent="0.25">
      <c r="A433" s="12" t="s">
        <v>13</v>
      </c>
      <c r="B433" s="14" t="s">
        <v>271</v>
      </c>
      <c r="C433" s="12">
        <v>2021</v>
      </c>
      <c r="D433" s="12">
        <v>0.4</v>
      </c>
      <c r="E433" s="13"/>
      <c r="F433" s="12">
        <v>15</v>
      </c>
      <c r="G433" s="11">
        <v>23.688600000000001</v>
      </c>
    </row>
    <row r="434" spans="1:7" x14ac:dyDescent="0.25">
      <c r="A434" s="12" t="s">
        <v>13</v>
      </c>
      <c r="B434" s="14" t="s">
        <v>270</v>
      </c>
      <c r="C434" s="12">
        <v>2021</v>
      </c>
      <c r="D434" s="12">
        <v>0.4</v>
      </c>
      <c r="E434" s="13"/>
      <c r="F434" s="12">
        <v>15</v>
      </c>
      <c r="G434" s="11">
        <v>23.443300000000001</v>
      </c>
    </row>
    <row r="435" spans="1:7" x14ac:dyDescent="0.25">
      <c r="A435" s="12" t="s">
        <v>5</v>
      </c>
      <c r="B435" s="14" t="s">
        <v>269</v>
      </c>
      <c r="C435" s="12">
        <v>2021</v>
      </c>
      <c r="D435" s="12">
        <v>0.4</v>
      </c>
      <c r="E435" s="13"/>
      <c r="F435" s="12">
        <v>5</v>
      </c>
      <c r="G435" s="11">
        <v>13.2441</v>
      </c>
    </row>
    <row r="436" spans="1:7" x14ac:dyDescent="0.25">
      <c r="A436" s="12" t="s">
        <v>13</v>
      </c>
      <c r="B436" s="14" t="s">
        <v>268</v>
      </c>
      <c r="C436" s="12">
        <v>2021</v>
      </c>
      <c r="D436" s="12">
        <v>0.4</v>
      </c>
      <c r="E436" s="13"/>
      <c r="F436" s="12">
        <v>15</v>
      </c>
      <c r="G436" s="11">
        <v>23.572099999999999</v>
      </c>
    </row>
    <row r="437" spans="1:7" x14ac:dyDescent="0.25">
      <c r="A437" s="12" t="s">
        <v>5</v>
      </c>
      <c r="B437" s="14" t="s">
        <v>267</v>
      </c>
      <c r="C437" s="12">
        <v>2021</v>
      </c>
      <c r="D437" s="12">
        <v>0.4</v>
      </c>
      <c r="E437" s="13"/>
      <c r="F437" s="12">
        <v>5</v>
      </c>
      <c r="G437" s="11">
        <v>13.117900000000001</v>
      </c>
    </row>
    <row r="438" spans="1:7" x14ac:dyDescent="0.25">
      <c r="A438" s="12" t="s">
        <v>13</v>
      </c>
      <c r="B438" s="14" t="s">
        <v>266</v>
      </c>
      <c r="C438" s="12">
        <v>2021</v>
      </c>
      <c r="D438" s="12">
        <v>0.4</v>
      </c>
      <c r="E438" s="13"/>
      <c r="F438" s="12">
        <v>15</v>
      </c>
      <c r="G438" s="11">
        <v>23.227900000000002</v>
      </c>
    </row>
    <row r="439" spans="1:7" x14ac:dyDescent="0.25">
      <c r="A439" s="12" t="s">
        <v>13</v>
      </c>
      <c r="B439" s="14" t="s">
        <v>265</v>
      </c>
      <c r="C439" s="12">
        <v>2021</v>
      </c>
      <c r="D439" s="12">
        <v>0.4</v>
      </c>
      <c r="E439" s="13"/>
      <c r="F439" s="12">
        <v>15</v>
      </c>
      <c r="G439" s="11">
        <v>23.612500000000001</v>
      </c>
    </row>
    <row r="440" spans="1:7" x14ac:dyDescent="0.25">
      <c r="A440" s="12" t="s">
        <v>5</v>
      </c>
      <c r="B440" s="14" t="s">
        <v>264</v>
      </c>
      <c r="C440" s="12">
        <v>2021</v>
      </c>
      <c r="D440" s="12">
        <v>0.4</v>
      </c>
      <c r="E440" s="13"/>
      <c r="F440" s="12">
        <v>7</v>
      </c>
      <c r="G440" s="11">
        <v>13.152900000000001</v>
      </c>
    </row>
    <row r="441" spans="1:7" x14ac:dyDescent="0.25">
      <c r="A441" s="12" t="s">
        <v>13</v>
      </c>
      <c r="B441" s="14" t="s">
        <v>263</v>
      </c>
      <c r="C441" s="12">
        <v>2021</v>
      </c>
      <c r="D441" s="12">
        <v>0.4</v>
      </c>
      <c r="E441" s="13"/>
      <c r="F441" s="12">
        <v>15</v>
      </c>
      <c r="G441" s="11">
        <v>23.3095</v>
      </c>
    </row>
    <row r="442" spans="1:7" x14ac:dyDescent="0.25">
      <c r="A442" s="12" t="s">
        <v>13</v>
      </c>
      <c r="B442" s="14" t="s">
        <v>262</v>
      </c>
      <c r="C442" s="12">
        <v>2021</v>
      </c>
      <c r="D442" s="12">
        <v>0.4</v>
      </c>
      <c r="E442" s="13"/>
      <c r="F442" s="12">
        <v>15</v>
      </c>
      <c r="G442" s="11">
        <v>23.222100000000001</v>
      </c>
    </row>
    <row r="443" spans="1:7" x14ac:dyDescent="0.25">
      <c r="A443" s="12" t="s">
        <v>5</v>
      </c>
      <c r="B443" s="14" t="s">
        <v>261</v>
      </c>
      <c r="C443" s="12">
        <v>2021</v>
      </c>
      <c r="D443" s="12">
        <v>0.4</v>
      </c>
      <c r="E443" s="13"/>
      <c r="F443" s="12">
        <v>5</v>
      </c>
      <c r="G443" s="11">
        <v>13.3332</v>
      </c>
    </row>
    <row r="444" spans="1:7" x14ac:dyDescent="0.25">
      <c r="A444" s="12" t="s">
        <v>13</v>
      </c>
      <c r="B444" s="14" t="s">
        <v>260</v>
      </c>
      <c r="C444" s="12">
        <v>2021</v>
      </c>
      <c r="D444" s="12">
        <v>0.4</v>
      </c>
      <c r="E444" s="13"/>
      <c r="F444" s="12">
        <v>5</v>
      </c>
      <c r="G444" s="11">
        <v>13.171200000000001</v>
      </c>
    </row>
    <row r="445" spans="1:7" x14ac:dyDescent="0.25">
      <c r="A445" s="12" t="s">
        <v>13</v>
      </c>
      <c r="B445" s="14" t="s">
        <v>259</v>
      </c>
      <c r="C445" s="12">
        <v>2021</v>
      </c>
      <c r="D445" s="12">
        <v>0.4</v>
      </c>
      <c r="E445" s="13"/>
      <c r="F445" s="12">
        <v>15</v>
      </c>
      <c r="G445" s="11">
        <v>24.479600000000001</v>
      </c>
    </row>
    <row r="446" spans="1:7" x14ac:dyDescent="0.25">
      <c r="A446" s="12" t="s">
        <v>13</v>
      </c>
      <c r="B446" s="14" t="s">
        <v>258</v>
      </c>
      <c r="C446" s="12">
        <v>2021</v>
      </c>
      <c r="D446" s="12">
        <v>0.4</v>
      </c>
      <c r="E446" s="13"/>
      <c r="F446" s="12">
        <v>15</v>
      </c>
      <c r="G446" s="11">
        <v>23.3095</v>
      </c>
    </row>
    <row r="447" spans="1:7" x14ac:dyDescent="0.25">
      <c r="A447" s="12" t="s">
        <v>13</v>
      </c>
      <c r="B447" s="14" t="s">
        <v>257</v>
      </c>
      <c r="C447" s="12">
        <v>2021</v>
      </c>
      <c r="D447" s="12">
        <v>0.4</v>
      </c>
      <c r="E447" s="13"/>
      <c r="F447" s="12">
        <v>15</v>
      </c>
      <c r="G447" s="11">
        <v>23.6511</v>
      </c>
    </row>
    <row r="448" spans="1:7" x14ac:dyDescent="0.25">
      <c r="A448" s="12" t="s">
        <v>5</v>
      </c>
      <c r="B448" s="14" t="s">
        <v>256</v>
      </c>
      <c r="C448" s="12">
        <v>2021</v>
      </c>
      <c r="D448" s="12">
        <v>0.4</v>
      </c>
      <c r="E448" s="13"/>
      <c r="F448" s="12">
        <v>5</v>
      </c>
      <c r="G448" s="11">
        <v>13.167899999999999</v>
      </c>
    </row>
    <row r="449" spans="1:7" x14ac:dyDescent="0.25">
      <c r="A449" s="12" t="s">
        <v>13</v>
      </c>
      <c r="B449" s="14" t="s">
        <v>255</v>
      </c>
      <c r="C449" s="12">
        <v>2021</v>
      </c>
      <c r="D449" s="12">
        <v>0.4</v>
      </c>
      <c r="E449" s="13"/>
      <c r="F449" s="12">
        <v>15</v>
      </c>
      <c r="G449" s="11">
        <v>13.196199999999999</v>
      </c>
    </row>
    <row r="450" spans="1:7" x14ac:dyDescent="0.25">
      <c r="A450" s="12" t="s">
        <v>13</v>
      </c>
      <c r="B450" s="14" t="s">
        <v>254</v>
      </c>
      <c r="C450" s="12">
        <v>2021</v>
      </c>
      <c r="D450" s="12">
        <v>0.4</v>
      </c>
      <c r="E450" s="13"/>
      <c r="F450" s="12">
        <v>15</v>
      </c>
      <c r="G450" s="11">
        <v>23.367899999999999</v>
      </c>
    </row>
    <row r="451" spans="1:7" x14ac:dyDescent="0.25">
      <c r="A451" s="12" t="s">
        <v>5</v>
      </c>
      <c r="B451" s="14" t="s">
        <v>253</v>
      </c>
      <c r="C451" s="12">
        <v>2021</v>
      </c>
      <c r="D451" s="12">
        <v>0.4</v>
      </c>
      <c r="E451" s="13"/>
      <c r="F451" s="12">
        <v>5</v>
      </c>
      <c r="G451" s="11">
        <v>12.561299999999999</v>
      </c>
    </row>
    <row r="452" spans="1:7" x14ac:dyDescent="0.25">
      <c r="A452" s="12" t="s">
        <v>13</v>
      </c>
      <c r="B452" s="14" t="s">
        <v>252</v>
      </c>
      <c r="C452" s="12">
        <v>2021</v>
      </c>
      <c r="D452" s="12">
        <v>0.4</v>
      </c>
      <c r="E452" s="13"/>
      <c r="F452" s="12">
        <v>15</v>
      </c>
      <c r="G452" s="11">
        <v>22.242899999999999</v>
      </c>
    </row>
    <row r="453" spans="1:7" x14ac:dyDescent="0.25">
      <c r="A453" s="12" t="s">
        <v>13</v>
      </c>
      <c r="B453" s="14" t="s">
        <v>251</v>
      </c>
      <c r="C453" s="12">
        <v>2021</v>
      </c>
      <c r="D453" s="12">
        <v>0.4</v>
      </c>
      <c r="E453" s="13"/>
      <c r="F453" s="12">
        <v>15</v>
      </c>
      <c r="G453" s="11">
        <v>23.5779</v>
      </c>
    </row>
    <row r="454" spans="1:7" x14ac:dyDescent="0.25">
      <c r="A454" s="12" t="s">
        <v>13</v>
      </c>
      <c r="B454" s="14" t="s">
        <v>250</v>
      </c>
      <c r="C454" s="12">
        <v>2021</v>
      </c>
      <c r="D454" s="12">
        <v>0.4</v>
      </c>
      <c r="E454" s="13"/>
      <c r="F454" s="12">
        <v>15</v>
      </c>
      <c r="G454" s="11">
        <v>23.3337</v>
      </c>
    </row>
    <row r="455" spans="1:7" x14ac:dyDescent="0.25">
      <c r="A455" s="12" t="s">
        <v>13</v>
      </c>
      <c r="B455" s="14" t="s">
        <v>249</v>
      </c>
      <c r="C455" s="12">
        <v>2021</v>
      </c>
      <c r="D455" s="12">
        <v>0.4</v>
      </c>
      <c r="E455" s="13"/>
      <c r="F455" s="12">
        <v>15</v>
      </c>
      <c r="G455" s="11">
        <v>23.1663</v>
      </c>
    </row>
    <row r="456" spans="1:7" x14ac:dyDescent="0.25">
      <c r="A456" s="12" t="s">
        <v>13</v>
      </c>
      <c r="B456" s="14" t="s">
        <v>248</v>
      </c>
      <c r="C456" s="12">
        <v>2021</v>
      </c>
      <c r="D456" s="12">
        <v>0.4</v>
      </c>
      <c r="E456" s="13"/>
      <c r="F456" s="12">
        <v>15</v>
      </c>
      <c r="G456" s="11">
        <v>23.3688</v>
      </c>
    </row>
    <row r="457" spans="1:7" x14ac:dyDescent="0.25">
      <c r="A457" s="12" t="s">
        <v>5</v>
      </c>
      <c r="B457" s="14" t="s">
        <v>247</v>
      </c>
      <c r="C457" s="12">
        <v>2021</v>
      </c>
      <c r="D457" s="12">
        <v>0.4</v>
      </c>
      <c r="E457" s="13"/>
      <c r="F457" s="12">
        <v>5</v>
      </c>
      <c r="G457" s="11">
        <v>13.2662</v>
      </c>
    </row>
    <row r="458" spans="1:7" x14ac:dyDescent="0.25">
      <c r="A458" s="12" t="s">
        <v>5</v>
      </c>
      <c r="B458" s="14" t="s">
        <v>246</v>
      </c>
      <c r="C458" s="12">
        <v>2021</v>
      </c>
      <c r="D458" s="12">
        <v>0.4</v>
      </c>
      <c r="E458" s="13"/>
      <c r="F458" s="12">
        <v>5</v>
      </c>
      <c r="G458" s="11">
        <v>12.892099999999999</v>
      </c>
    </row>
    <row r="459" spans="1:7" x14ac:dyDescent="0.25">
      <c r="A459" s="12" t="s">
        <v>13</v>
      </c>
      <c r="B459" s="14" t="s">
        <v>245</v>
      </c>
      <c r="C459" s="12">
        <v>2021</v>
      </c>
      <c r="D459" s="12">
        <v>0.4</v>
      </c>
      <c r="E459" s="13"/>
      <c r="F459" s="12">
        <v>15</v>
      </c>
      <c r="G459" s="11">
        <v>23.404599999999999</v>
      </c>
    </row>
    <row r="460" spans="1:7" x14ac:dyDescent="0.25">
      <c r="A460" s="12" t="s">
        <v>13</v>
      </c>
      <c r="B460" s="14" t="s">
        <v>244</v>
      </c>
      <c r="C460" s="12">
        <v>2021</v>
      </c>
      <c r="D460" s="12">
        <v>0.4</v>
      </c>
      <c r="E460" s="13"/>
      <c r="F460" s="12">
        <v>15</v>
      </c>
      <c r="G460" s="11">
        <v>23.436499999999999</v>
      </c>
    </row>
    <row r="461" spans="1:7" x14ac:dyDescent="0.25">
      <c r="A461" s="12" t="s">
        <v>13</v>
      </c>
      <c r="B461" s="14" t="s">
        <v>243</v>
      </c>
      <c r="C461" s="12">
        <v>2021</v>
      </c>
      <c r="D461" s="12">
        <v>0.4</v>
      </c>
      <c r="E461" s="13"/>
      <c r="F461" s="12">
        <v>15</v>
      </c>
      <c r="G461" s="11">
        <v>23.614599999999999</v>
      </c>
    </row>
    <row r="462" spans="1:7" x14ac:dyDescent="0.25">
      <c r="A462" s="12" t="s">
        <v>13</v>
      </c>
      <c r="B462" s="14" t="s">
        <v>242</v>
      </c>
      <c r="C462" s="12">
        <v>2021</v>
      </c>
      <c r="D462" s="12">
        <v>0.4</v>
      </c>
      <c r="E462" s="13"/>
      <c r="F462" s="12">
        <v>15</v>
      </c>
      <c r="G462" s="11">
        <v>23.116199999999999</v>
      </c>
    </row>
    <row r="463" spans="1:7" x14ac:dyDescent="0.25">
      <c r="A463" s="12" t="s">
        <v>13</v>
      </c>
      <c r="B463" s="14" t="s">
        <v>241</v>
      </c>
      <c r="C463" s="12">
        <v>2021</v>
      </c>
      <c r="D463" s="12">
        <v>0.4</v>
      </c>
      <c r="E463" s="13"/>
      <c r="F463" s="12">
        <v>15</v>
      </c>
      <c r="G463" s="11">
        <v>23.3062</v>
      </c>
    </row>
    <row r="464" spans="1:7" x14ac:dyDescent="0.25">
      <c r="A464" s="12" t="s">
        <v>13</v>
      </c>
      <c r="B464" s="14" t="s">
        <v>240</v>
      </c>
      <c r="C464" s="12">
        <v>2021</v>
      </c>
      <c r="D464" s="12">
        <v>0.4</v>
      </c>
      <c r="E464" s="13"/>
      <c r="F464" s="12">
        <v>15</v>
      </c>
      <c r="G464" s="11">
        <v>23.5779</v>
      </c>
    </row>
    <row r="465" spans="1:7" x14ac:dyDescent="0.25">
      <c r="A465" s="12" t="s">
        <v>5</v>
      </c>
      <c r="B465" s="14" t="s">
        <v>239</v>
      </c>
      <c r="C465" s="12">
        <v>2021</v>
      </c>
      <c r="D465" s="12">
        <v>0.4</v>
      </c>
      <c r="E465" s="13"/>
      <c r="F465" s="12">
        <v>5</v>
      </c>
      <c r="G465" s="11">
        <v>13.402100000000001</v>
      </c>
    </row>
    <row r="466" spans="1:7" x14ac:dyDescent="0.25">
      <c r="A466" s="12" t="s">
        <v>13</v>
      </c>
      <c r="B466" s="14" t="s">
        <v>238</v>
      </c>
      <c r="C466" s="12">
        <v>2021</v>
      </c>
      <c r="D466" s="12">
        <v>0.4</v>
      </c>
      <c r="E466" s="13"/>
      <c r="F466" s="12">
        <v>15</v>
      </c>
      <c r="G466" s="11">
        <v>23.312799999999999</v>
      </c>
    </row>
    <row r="467" spans="1:7" x14ac:dyDescent="0.25">
      <c r="A467" s="12" t="s">
        <v>5</v>
      </c>
      <c r="B467" s="14" t="s">
        <v>237</v>
      </c>
      <c r="C467" s="12">
        <v>2021</v>
      </c>
      <c r="D467" s="12">
        <v>0.4</v>
      </c>
      <c r="E467" s="13"/>
      <c r="F467" s="12">
        <v>5</v>
      </c>
      <c r="G467" s="11">
        <v>13.42</v>
      </c>
    </row>
    <row r="468" spans="1:7" x14ac:dyDescent="0.25">
      <c r="A468" s="12" t="s">
        <v>13</v>
      </c>
      <c r="B468" s="14" t="s">
        <v>236</v>
      </c>
      <c r="C468" s="12">
        <v>2021</v>
      </c>
      <c r="D468" s="12">
        <v>0.4</v>
      </c>
      <c r="E468" s="13"/>
      <c r="F468" s="12">
        <v>15</v>
      </c>
      <c r="G468" s="11">
        <v>23.376300000000001</v>
      </c>
    </row>
    <row r="469" spans="1:7" x14ac:dyDescent="0.25">
      <c r="A469" s="12" t="s">
        <v>13</v>
      </c>
      <c r="B469" s="14" t="s">
        <v>235</v>
      </c>
      <c r="C469" s="12">
        <v>2021</v>
      </c>
      <c r="D469" s="12">
        <v>0.4</v>
      </c>
      <c r="E469" s="13"/>
      <c r="F469" s="12">
        <v>15</v>
      </c>
      <c r="G469" s="11">
        <v>28.134899999999998</v>
      </c>
    </row>
    <row r="470" spans="1:7" x14ac:dyDescent="0.25">
      <c r="A470" s="12" t="s">
        <v>5</v>
      </c>
      <c r="B470" s="14" t="s">
        <v>234</v>
      </c>
      <c r="C470" s="12">
        <v>2021</v>
      </c>
      <c r="D470" s="12">
        <v>0.4</v>
      </c>
      <c r="E470" s="13"/>
      <c r="F470" s="12">
        <v>5</v>
      </c>
      <c r="G470" s="11">
        <v>22.217199999999998</v>
      </c>
    </row>
    <row r="471" spans="1:7" x14ac:dyDescent="0.25">
      <c r="A471" s="12" t="s">
        <v>13</v>
      </c>
      <c r="B471" s="14" t="s">
        <v>233</v>
      </c>
      <c r="C471" s="12">
        <v>2021</v>
      </c>
      <c r="D471" s="12">
        <v>0.4</v>
      </c>
      <c r="E471" s="13"/>
      <c r="F471" s="12">
        <v>15</v>
      </c>
      <c r="G471" s="11">
        <v>22.217199999999998</v>
      </c>
    </row>
    <row r="472" spans="1:7" x14ac:dyDescent="0.25">
      <c r="A472" s="12" t="s">
        <v>13</v>
      </c>
      <c r="B472" s="14" t="s">
        <v>232</v>
      </c>
      <c r="C472" s="12">
        <v>2021</v>
      </c>
      <c r="D472" s="12">
        <v>0.4</v>
      </c>
      <c r="E472" s="13"/>
      <c r="F472" s="12">
        <v>15</v>
      </c>
      <c r="G472" s="11">
        <v>22.135100000000001</v>
      </c>
    </row>
    <row r="473" spans="1:7" x14ac:dyDescent="0.25">
      <c r="A473" s="12" t="s">
        <v>13</v>
      </c>
      <c r="B473" s="14" t="s">
        <v>231</v>
      </c>
      <c r="C473" s="12">
        <v>2021</v>
      </c>
      <c r="D473" s="12">
        <v>0.4</v>
      </c>
      <c r="E473" s="13"/>
      <c r="F473" s="12">
        <v>15</v>
      </c>
      <c r="G473" s="11">
        <v>23.707799999999999</v>
      </c>
    </row>
    <row r="474" spans="1:7" x14ac:dyDescent="0.25">
      <c r="A474" s="12" t="s">
        <v>5</v>
      </c>
      <c r="B474" s="14" t="s">
        <v>230</v>
      </c>
      <c r="C474" s="12">
        <v>2021</v>
      </c>
      <c r="D474" s="12">
        <v>0.4</v>
      </c>
      <c r="E474" s="13"/>
      <c r="F474" s="12">
        <v>5</v>
      </c>
      <c r="G474" s="11">
        <v>13.9811</v>
      </c>
    </row>
    <row r="475" spans="1:7" x14ac:dyDescent="0.25">
      <c r="A475" s="12" t="s">
        <v>13</v>
      </c>
      <c r="B475" s="14" t="s">
        <v>229</v>
      </c>
      <c r="C475" s="12">
        <v>2021</v>
      </c>
      <c r="D475" s="12">
        <v>0.4</v>
      </c>
      <c r="E475" s="13"/>
      <c r="F475" s="12">
        <v>15</v>
      </c>
      <c r="G475" s="11">
        <v>27.853999999999999</v>
      </c>
    </row>
    <row r="476" spans="1:7" x14ac:dyDescent="0.25">
      <c r="A476" s="12" t="s">
        <v>13</v>
      </c>
      <c r="B476" s="14" t="s">
        <v>228</v>
      </c>
      <c r="C476" s="12">
        <v>2021</v>
      </c>
      <c r="D476" s="12">
        <v>0.4</v>
      </c>
      <c r="E476" s="13"/>
      <c r="F476" s="12">
        <v>15</v>
      </c>
      <c r="G476" s="11">
        <v>23.4038</v>
      </c>
    </row>
    <row r="477" spans="1:7" x14ac:dyDescent="0.25">
      <c r="A477" s="12" t="s">
        <v>5</v>
      </c>
      <c r="B477" s="14" t="s">
        <v>227</v>
      </c>
      <c r="C477" s="12">
        <v>2021</v>
      </c>
      <c r="D477" s="12">
        <v>0.4</v>
      </c>
      <c r="E477" s="13"/>
      <c r="F477" s="12">
        <v>5</v>
      </c>
      <c r="G477" s="11">
        <v>14.037100000000001</v>
      </c>
    </row>
    <row r="478" spans="1:7" x14ac:dyDescent="0.25">
      <c r="A478" s="12" t="s">
        <v>13</v>
      </c>
      <c r="B478" s="14" t="s">
        <v>226</v>
      </c>
      <c r="C478" s="12">
        <v>2021</v>
      </c>
      <c r="D478" s="12">
        <v>0.4</v>
      </c>
      <c r="E478" s="13"/>
      <c r="F478" s="12">
        <v>15</v>
      </c>
      <c r="G478" s="11">
        <v>23.362100000000002</v>
      </c>
    </row>
    <row r="479" spans="1:7" x14ac:dyDescent="0.25">
      <c r="A479" s="12" t="s">
        <v>13</v>
      </c>
      <c r="B479" s="14" t="s">
        <v>225</v>
      </c>
      <c r="C479" s="12">
        <v>2021</v>
      </c>
      <c r="D479" s="12">
        <v>0.4</v>
      </c>
      <c r="E479" s="13"/>
      <c r="F479" s="12">
        <v>15</v>
      </c>
      <c r="G479" s="11">
        <v>23.473800000000001</v>
      </c>
    </row>
    <row r="480" spans="1:7" x14ac:dyDescent="0.25">
      <c r="A480" s="12" t="s">
        <v>13</v>
      </c>
      <c r="B480" s="14" t="s">
        <v>224</v>
      </c>
      <c r="C480" s="12">
        <v>2021</v>
      </c>
      <c r="D480" s="12">
        <v>0.4</v>
      </c>
      <c r="E480" s="13"/>
      <c r="F480" s="12">
        <v>15</v>
      </c>
      <c r="G480" s="11">
        <v>23.2362</v>
      </c>
    </row>
    <row r="481" spans="1:7" x14ac:dyDescent="0.25">
      <c r="A481" s="12" t="s">
        <v>5</v>
      </c>
      <c r="B481" s="14" t="s">
        <v>223</v>
      </c>
      <c r="C481" s="12">
        <v>2021</v>
      </c>
      <c r="D481" s="12">
        <v>0.4</v>
      </c>
      <c r="E481" s="13"/>
      <c r="F481" s="12">
        <v>5</v>
      </c>
      <c r="G481" s="11">
        <v>13.7379</v>
      </c>
    </row>
    <row r="482" spans="1:7" x14ac:dyDescent="0.25">
      <c r="A482" s="12" t="s">
        <v>13</v>
      </c>
      <c r="B482" s="14" t="s">
        <v>222</v>
      </c>
      <c r="C482" s="12">
        <v>2021</v>
      </c>
      <c r="D482" s="12">
        <v>0.4</v>
      </c>
      <c r="E482" s="13"/>
      <c r="F482" s="12">
        <v>15</v>
      </c>
      <c r="G482" s="11">
        <v>25.389600000000002</v>
      </c>
    </row>
    <row r="483" spans="1:7" x14ac:dyDescent="0.25">
      <c r="A483" s="12" t="s">
        <v>5</v>
      </c>
      <c r="B483" s="14" t="s">
        <v>221</v>
      </c>
      <c r="C483" s="12">
        <v>2021</v>
      </c>
      <c r="D483" s="12">
        <v>0.4</v>
      </c>
      <c r="E483" s="13"/>
      <c r="F483" s="12">
        <v>5</v>
      </c>
      <c r="G483" s="11">
        <v>13.143800000000001</v>
      </c>
    </row>
    <row r="484" spans="1:7" x14ac:dyDescent="0.25">
      <c r="A484" s="12" t="s">
        <v>13</v>
      </c>
      <c r="B484" s="14" t="s">
        <v>220</v>
      </c>
      <c r="C484" s="12">
        <v>2021</v>
      </c>
      <c r="D484" s="12">
        <v>0.4</v>
      </c>
      <c r="E484" s="13"/>
      <c r="F484" s="12">
        <v>15</v>
      </c>
      <c r="G484" s="11">
        <v>24.7563</v>
      </c>
    </row>
    <row r="485" spans="1:7" x14ac:dyDescent="0.25">
      <c r="A485" s="12" t="s">
        <v>13</v>
      </c>
      <c r="B485" s="14" t="s">
        <v>219</v>
      </c>
      <c r="C485" s="12">
        <v>2021</v>
      </c>
      <c r="D485" s="12">
        <v>0.4</v>
      </c>
      <c r="E485" s="13"/>
      <c r="F485" s="12">
        <v>15</v>
      </c>
      <c r="G485" s="11">
        <v>25.1404</v>
      </c>
    </row>
    <row r="486" spans="1:7" x14ac:dyDescent="0.25">
      <c r="A486" s="12" t="s">
        <v>13</v>
      </c>
      <c r="B486" s="14" t="s">
        <v>218</v>
      </c>
      <c r="C486" s="12">
        <v>2021</v>
      </c>
      <c r="D486" s="12">
        <v>0.4</v>
      </c>
      <c r="E486" s="13"/>
      <c r="F486" s="12">
        <v>15</v>
      </c>
      <c r="G486" s="11">
        <v>23.473700000000001</v>
      </c>
    </row>
    <row r="487" spans="1:7" x14ac:dyDescent="0.25">
      <c r="A487" s="12" t="s">
        <v>13</v>
      </c>
      <c r="B487" s="14" t="s">
        <v>217</v>
      </c>
      <c r="C487" s="12">
        <v>2021</v>
      </c>
      <c r="D487" s="12">
        <v>0.4</v>
      </c>
      <c r="E487" s="13"/>
      <c r="F487" s="12">
        <v>15</v>
      </c>
      <c r="G487" s="11">
        <v>21.6496</v>
      </c>
    </row>
    <row r="488" spans="1:7" x14ac:dyDescent="0.25">
      <c r="A488" s="12" t="s">
        <v>13</v>
      </c>
      <c r="B488" s="14" t="s">
        <v>138</v>
      </c>
      <c r="C488" s="12">
        <v>2021</v>
      </c>
      <c r="D488" s="12">
        <v>0.4</v>
      </c>
      <c r="E488" s="13"/>
      <c r="F488" s="12">
        <v>15</v>
      </c>
      <c r="G488" s="11">
        <v>23.630400000000002</v>
      </c>
    </row>
    <row r="489" spans="1:7" x14ac:dyDescent="0.25">
      <c r="A489" s="12" t="s">
        <v>13</v>
      </c>
      <c r="B489" s="14" t="s">
        <v>216</v>
      </c>
      <c r="C489" s="12">
        <v>2021</v>
      </c>
      <c r="D489" s="12">
        <v>0.4</v>
      </c>
      <c r="E489" s="13"/>
      <c r="F489" s="12">
        <v>15</v>
      </c>
      <c r="G489" s="11">
        <v>24.434200000000001</v>
      </c>
    </row>
    <row r="490" spans="1:7" x14ac:dyDescent="0.25">
      <c r="A490" s="12" t="s">
        <v>13</v>
      </c>
      <c r="B490" s="14" t="s">
        <v>215</v>
      </c>
      <c r="C490" s="12">
        <v>2021</v>
      </c>
      <c r="D490" s="12">
        <v>0.4</v>
      </c>
      <c r="E490" s="13"/>
      <c r="F490" s="12">
        <v>15</v>
      </c>
      <c r="G490" s="11">
        <v>23.121700000000001</v>
      </c>
    </row>
    <row r="491" spans="1:7" x14ac:dyDescent="0.25">
      <c r="A491" s="12" t="s">
        <v>13</v>
      </c>
      <c r="B491" s="14" t="s">
        <v>214</v>
      </c>
      <c r="C491" s="12">
        <v>2021</v>
      </c>
      <c r="D491" s="12">
        <v>0.4</v>
      </c>
      <c r="E491" s="13"/>
      <c r="F491" s="12">
        <v>15</v>
      </c>
      <c r="G491" s="11">
        <v>25.465</v>
      </c>
    </row>
    <row r="492" spans="1:7" x14ac:dyDescent="0.25">
      <c r="A492" s="12" t="s">
        <v>13</v>
      </c>
      <c r="B492" s="14" t="s">
        <v>213</v>
      </c>
      <c r="C492" s="12">
        <v>2021</v>
      </c>
      <c r="D492" s="12">
        <v>0.4</v>
      </c>
      <c r="E492" s="13"/>
      <c r="F492" s="12">
        <v>15</v>
      </c>
      <c r="G492" s="11">
        <v>24.256699999999999</v>
      </c>
    </row>
    <row r="493" spans="1:7" x14ac:dyDescent="0.25">
      <c r="A493" s="12" t="s">
        <v>13</v>
      </c>
      <c r="B493" s="14" t="s">
        <v>212</v>
      </c>
      <c r="C493" s="12">
        <v>2021</v>
      </c>
      <c r="D493" s="12">
        <v>0.4</v>
      </c>
      <c r="E493" s="13"/>
      <c r="F493" s="12">
        <v>15</v>
      </c>
      <c r="G493" s="11">
        <v>24.425000000000001</v>
      </c>
    </row>
    <row r="494" spans="1:7" x14ac:dyDescent="0.25">
      <c r="A494" s="12" t="s">
        <v>13</v>
      </c>
      <c r="B494" s="14" t="s">
        <v>211</v>
      </c>
      <c r="C494" s="12">
        <v>2021</v>
      </c>
      <c r="D494" s="12">
        <v>0.4</v>
      </c>
      <c r="E494" s="13"/>
      <c r="F494" s="12">
        <v>15</v>
      </c>
      <c r="G494" s="11">
        <v>25.333200000000001</v>
      </c>
    </row>
    <row r="495" spans="1:7" x14ac:dyDescent="0.25">
      <c r="A495" s="12" t="s">
        <v>13</v>
      </c>
      <c r="B495" s="14" t="s">
        <v>210</v>
      </c>
      <c r="C495" s="12">
        <v>2021</v>
      </c>
      <c r="D495" s="12">
        <v>0.4</v>
      </c>
      <c r="E495" s="13"/>
      <c r="F495" s="12">
        <v>15</v>
      </c>
      <c r="G495" s="11">
        <v>25.2134</v>
      </c>
    </row>
    <row r="496" spans="1:7" x14ac:dyDescent="0.25">
      <c r="A496" s="12" t="s">
        <v>13</v>
      </c>
      <c r="B496" s="14" t="s">
        <v>209</v>
      </c>
      <c r="C496" s="12">
        <v>2021</v>
      </c>
      <c r="D496" s="12">
        <v>0.4</v>
      </c>
      <c r="E496" s="13"/>
      <c r="F496" s="12">
        <v>15</v>
      </c>
      <c r="G496" s="11">
        <v>25.324999999999999</v>
      </c>
    </row>
    <row r="497" spans="1:7" x14ac:dyDescent="0.25">
      <c r="A497" s="12" t="s">
        <v>5</v>
      </c>
      <c r="B497" s="14" t="s">
        <v>208</v>
      </c>
      <c r="C497" s="12">
        <v>2021</v>
      </c>
      <c r="D497" s="12">
        <v>0.4</v>
      </c>
      <c r="E497" s="13"/>
      <c r="F497" s="12">
        <v>5</v>
      </c>
      <c r="G497" s="11">
        <v>13.985300000000001</v>
      </c>
    </row>
    <row r="498" spans="1:7" x14ac:dyDescent="0.25">
      <c r="A498" s="12" t="s">
        <v>5</v>
      </c>
      <c r="B498" s="14" t="s">
        <v>207</v>
      </c>
      <c r="C498" s="12">
        <v>2021</v>
      </c>
      <c r="D498" s="12">
        <v>0.4</v>
      </c>
      <c r="E498" s="13"/>
      <c r="F498" s="12">
        <v>5</v>
      </c>
      <c r="G498" s="11">
        <v>0.76856999999999998</v>
      </c>
    </row>
    <row r="499" spans="1:7" x14ac:dyDescent="0.25">
      <c r="A499" s="12" t="s">
        <v>5</v>
      </c>
      <c r="B499" s="14" t="s">
        <v>206</v>
      </c>
      <c r="C499" s="12">
        <v>2021</v>
      </c>
      <c r="D499" s="12">
        <v>0.4</v>
      </c>
      <c r="E499" s="13"/>
      <c r="F499" s="12">
        <v>5</v>
      </c>
      <c r="G499" s="11">
        <v>13.0937</v>
      </c>
    </row>
    <row r="500" spans="1:7" x14ac:dyDescent="0.25">
      <c r="A500" s="12" t="s">
        <v>5</v>
      </c>
      <c r="B500" s="14" t="s">
        <v>205</v>
      </c>
      <c r="C500" s="12">
        <v>2021</v>
      </c>
      <c r="D500" s="12">
        <v>0.4</v>
      </c>
      <c r="E500" s="13"/>
      <c r="F500" s="12">
        <v>5</v>
      </c>
      <c r="G500" s="11">
        <v>13.587</v>
      </c>
    </row>
    <row r="501" spans="1:7" x14ac:dyDescent="0.25">
      <c r="A501" s="12" t="s">
        <v>13</v>
      </c>
      <c r="B501" s="14" t="s">
        <v>204</v>
      </c>
      <c r="C501" s="12">
        <v>2021</v>
      </c>
      <c r="D501" s="12">
        <v>0.4</v>
      </c>
      <c r="E501" s="13"/>
      <c r="F501" s="12">
        <v>15</v>
      </c>
      <c r="G501" s="11">
        <v>25.327500000000001</v>
      </c>
    </row>
    <row r="502" spans="1:7" x14ac:dyDescent="0.25">
      <c r="A502" s="12" t="s">
        <v>5</v>
      </c>
      <c r="B502" s="14" t="s">
        <v>203</v>
      </c>
      <c r="C502" s="12">
        <v>2021</v>
      </c>
      <c r="D502" s="12">
        <v>0.4</v>
      </c>
      <c r="E502" s="13"/>
      <c r="F502" s="12">
        <v>5</v>
      </c>
      <c r="G502" s="11">
        <v>14.069699999999999</v>
      </c>
    </row>
    <row r="503" spans="1:7" x14ac:dyDescent="0.25">
      <c r="A503" s="12" t="s">
        <v>5</v>
      </c>
      <c r="B503" s="14" t="s">
        <v>202</v>
      </c>
      <c r="C503" s="12">
        <v>2021</v>
      </c>
      <c r="D503" s="12">
        <v>0.4</v>
      </c>
      <c r="E503" s="13"/>
      <c r="F503" s="12">
        <v>5</v>
      </c>
      <c r="G503" s="11">
        <v>14.3728</v>
      </c>
    </row>
    <row r="504" spans="1:7" x14ac:dyDescent="0.25">
      <c r="A504" s="12" t="s">
        <v>13</v>
      </c>
      <c r="B504" s="14" t="s">
        <v>201</v>
      </c>
      <c r="C504" s="12">
        <v>2021</v>
      </c>
      <c r="D504" s="12">
        <v>0.4</v>
      </c>
      <c r="E504" s="13"/>
      <c r="F504" s="12">
        <v>15</v>
      </c>
      <c r="G504" s="11">
        <v>24.175000000000001</v>
      </c>
    </row>
    <row r="505" spans="1:7" x14ac:dyDescent="0.25">
      <c r="A505" s="12" t="s">
        <v>5</v>
      </c>
      <c r="B505" s="14" t="s">
        <v>200</v>
      </c>
      <c r="C505" s="12">
        <v>2021</v>
      </c>
      <c r="D505" s="12">
        <v>0.4</v>
      </c>
      <c r="E505" s="13"/>
      <c r="F505" s="12">
        <v>5</v>
      </c>
      <c r="G505" s="11">
        <v>13.937200000000001</v>
      </c>
    </row>
    <row r="506" spans="1:7" x14ac:dyDescent="0.25">
      <c r="A506" s="12" t="s">
        <v>13</v>
      </c>
      <c r="B506" s="14" t="s">
        <v>199</v>
      </c>
      <c r="C506" s="12">
        <v>2021</v>
      </c>
      <c r="D506" s="12">
        <v>0.4</v>
      </c>
      <c r="E506" s="13"/>
      <c r="F506" s="12">
        <v>15</v>
      </c>
      <c r="G506" s="11">
        <v>25.383400000000002</v>
      </c>
    </row>
    <row r="507" spans="1:7" x14ac:dyDescent="0.25">
      <c r="A507" s="12" t="s">
        <v>13</v>
      </c>
      <c r="B507" s="14" t="s">
        <v>198</v>
      </c>
      <c r="C507" s="12">
        <v>2021</v>
      </c>
      <c r="D507" s="12">
        <v>0.4</v>
      </c>
      <c r="E507" s="13"/>
      <c r="F507" s="12">
        <v>15</v>
      </c>
      <c r="G507" s="11">
        <v>24.063400000000001</v>
      </c>
    </row>
    <row r="508" spans="1:7" x14ac:dyDescent="0.25">
      <c r="A508" s="12" t="s">
        <v>13</v>
      </c>
      <c r="B508" s="14" t="s">
        <v>197</v>
      </c>
      <c r="C508" s="12">
        <v>2021</v>
      </c>
      <c r="D508" s="12">
        <v>0.4</v>
      </c>
      <c r="E508" s="13"/>
      <c r="F508" s="12">
        <v>15</v>
      </c>
      <c r="G508" s="11">
        <v>25.152899999999999</v>
      </c>
    </row>
    <row r="509" spans="1:7" x14ac:dyDescent="0.25">
      <c r="A509" s="12" t="s">
        <v>13</v>
      </c>
      <c r="B509" s="14" t="s">
        <v>196</v>
      </c>
      <c r="C509" s="12">
        <v>2021</v>
      </c>
      <c r="D509" s="12">
        <v>0.4</v>
      </c>
      <c r="E509" s="13"/>
      <c r="F509" s="12">
        <v>15</v>
      </c>
      <c r="G509" s="11">
        <v>25.2346</v>
      </c>
    </row>
    <row r="510" spans="1:7" x14ac:dyDescent="0.25">
      <c r="A510" s="12" t="s">
        <v>13</v>
      </c>
      <c r="B510" s="14" t="s">
        <v>195</v>
      </c>
      <c r="C510" s="12">
        <v>2021</v>
      </c>
      <c r="D510" s="12">
        <v>0.4</v>
      </c>
      <c r="E510" s="13"/>
      <c r="F510" s="12">
        <v>15</v>
      </c>
      <c r="G510" s="11">
        <v>25.084599999999998</v>
      </c>
    </row>
    <row r="511" spans="1:7" x14ac:dyDescent="0.25">
      <c r="A511" s="12" t="s">
        <v>13</v>
      </c>
      <c r="B511" s="14" t="s">
        <v>194</v>
      </c>
      <c r="C511" s="12">
        <v>2021</v>
      </c>
      <c r="D511" s="12">
        <v>0.4</v>
      </c>
      <c r="E511" s="13"/>
      <c r="F511" s="12">
        <v>15</v>
      </c>
      <c r="G511" s="11">
        <v>25.0563</v>
      </c>
    </row>
    <row r="512" spans="1:7" x14ac:dyDescent="0.25">
      <c r="A512" s="12" t="s">
        <v>13</v>
      </c>
      <c r="B512" s="14" t="s">
        <v>193</v>
      </c>
      <c r="C512" s="12">
        <v>2021</v>
      </c>
      <c r="D512" s="12">
        <v>0.4</v>
      </c>
      <c r="E512" s="13"/>
      <c r="F512" s="12">
        <v>15</v>
      </c>
      <c r="G512" s="11">
        <v>25.379899999999999</v>
      </c>
    </row>
    <row r="513" spans="1:7" x14ac:dyDescent="0.25">
      <c r="A513" s="12" t="s">
        <v>5</v>
      </c>
      <c r="B513" s="14" t="s">
        <v>192</v>
      </c>
      <c r="C513" s="12">
        <v>2021</v>
      </c>
      <c r="D513" s="12">
        <v>0.4</v>
      </c>
      <c r="E513" s="13"/>
      <c r="F513" s="12">
        <v>5</v>
      </c>
      <c r="G513" s="11">
        <v>13.8545</v>
      </c>
    </row>
    <row r="514" spans="1:7" x14ac:dyDescent="0.25">
      <c r="A514" s="12" t="s">
        <v>5</v>
      </c>
      <c r="B514" s="14" t="s">
        <v>191</v>
      </c>
      <c r="C514" s="12">
        <v>2021</v>
      </c>
      <c r="D514" s="12">
        <v>0.4</v>
      </c>
      <c r="E514" s="13"/>
      <c r="F514" s="12">
        <v>5</v>
      </c>
      <c r="G514" s="11">
        <v>13.7403</v>
      </c>
    </row>
    <row r="515" spans="1:7" x14ac:dyDescent="0.25">
      <c r="A515" s="12" t="s">
        <v>5</v>
      </c>
      <c r="B515" s="14" t="s">
        <v>190</v>
      </c>
      <c r="C515" s="12">
        <v>2021</v>
      </c>
      <c r="D515" s="12">
        <v>0.4</v>
      </c>
      <c r="E515" s="13"/>
      <c r="F515" s="12">
        <v>5</v>
      </c>
      <c r="G515" s="11">
        <v>14.1096</v>
      </c>
    </row>
    <row r="516" spans="1:7" x14ac:dyDescent="0.25">
      <c r="A516" s="12" t="s">
        <v>13</v>
      </c>
      <c r="B516" s="14" t="s">
        <v>189</v>
      </c>
      <c r="C516" s="12">
        <v>2021</v>
      </c>
      <c r="D516" s="12">
        <v>0.4</v>
      </c>
      <c r="E516" s="13"/>
      <c r="F516" s="12">
        <v>15</v>
      </c>
      <c r="G516" s="11">
        <v>23.421099999999999</v>
      </c>
    </row>
    <row r="517" spans="1:7" x14ac:dyDescent="0.25">
      <c r="A517" s="12" t="s">
        <v>13</v>
      </c>
      <c r="B517" s="14" t="s">
        <v>188</v>
      </c>
      <c r="C517" s="12">
        <v>2021</v>
      </c>
      <c r="D517" s="12">
        <v>0.4</v>
      </c>
      <c r="E517" s="13"/>
      <c r="F517" s="12">
        <v>15</v>
      </c>
      <c r="G517" s="11">
        <v>28.0259</v>
      </c>
    </row>
    <row r="518" spans="1:7" x14ac:dyDescent="0.25">
      <c r="A518" s="12" t="s">
        <v>5</v>
      </c>
      <c r="B518" s="14" t="s">
        <v>187</v>
      </c>
      <c r="C518" s="12">
        <v>2021</v>
      </c>
      <c r="D518" s="12">
        <v>0.4</v>
      </c>
      <c r="E518" s="13"/>
      <c r="F518" s="12">
        <v>5</v>
      </c>
      <c r="G518" s="11">
        <v>25.332100000000001</v>
      </c>
    </row>
    <row r="519" spans="1:7" x14ac:dyDescent="0.25">
      <c r="A519" s="12" t="s">
        <v>13</v>
      </c>
      <c r="B519" s="14" t="s">
        <v>186</v>
      </c>
      <c r="C519" s="12">
        <v>2021</v>
      </c>
      <c r="D519" s="12">
        <v>0.4</v>
      </c>
      <c r="E519" s="13"/>
      <c r="F519" s="12">
        <v>15</v>
      </c>
      <c r="G519" s="11">
        <v>13.152900000000001</v>
      </c>
    </row>
    <row r="520" spans="1:7" x14ac:dyDescent="0.25">
      <c r="A520" s="12" t="s">
        <v>5</v>
      </c>
      <c r="B520" s="14" t="s">
        <v>185</v>
      </c>
      <c r="C520" s="12">
        <v>2021</v>
      </c>
      <c r="D520" s="12">
        <v>0.4</v>
      </c>
      <c r="E520" s="13"/>
      <c r="F520" s="12">
        <v>5</v>
      </c>
      <c r="G520" s="11">
        <v>22.106200000000001</v>
      </c>
    </row>
    <row r="521" spans="1:7" x14ac:dyDescent="0.25">
      <c r="A521" s="12" t="s">
        <v>5</v>
      </c>
      <c r="B521" s="14" t="s">
        <v>184</v>
      </c>
      <c r="C521" s="12">
        <v>2021</v>
      </c>
      <c r="D521" s="12">
        <v>0.4</v>
      </c>
      <c r="E521" s="13"/>
      <c r="F521" s="12">
        <v>5</v>
      </c>
      <c r="G521" s="11">
        <v>5.88056</v>
      </c>
    </row>
    <row r="522" spans="1:7" x14ac:dyDescent="0.25">
      <c r="A522" s="12" t="s">
        <v>5</v>
      </c>
      <c r="B522" s="14" t="s">
        <v>183</v>
      </c>
      <c r="C522" s="12">
        <v>2021</v>
      </c>
      <c r="D522" s="12">
        <v>0.4</v>
      </c>
      <c r="E522" s="13"/>
      <c r="F522" s="12">
        <v>5</v>
      </c>
      <c r="G522" s="11">
        <v>12.3482</v>
      </c>
    </row>
    <row r="523" spans="1:7" x14ac:dyDescent="0.25">
      <c r="A523" s="12" t="s">
        <v>5</v>
      </c>
      <c r="B523" s="14" t="s">
        <v>182</v>
      </c>
      <c r="C523" s="12">
        <v>2021</v>
      </c>
      <c r="D523" s="12">
        <v>0.4</v>
      </c>
      <c r="E523" s="13"/>
      <c r="F523" s="12">
        <v>5</v>
      </c>
      <c r="G523" s="11">
        <v>13.0899</v>
      </c>
    </row>
    <row r="524" spans="1:7" x14ac:dyDescent="0.25">
      <c r="A524" s="12" t="s">
        <v>5</v>
      </c>
      <c r="B524" s="14" t="s">
        <v>181</v>
      </c>
      <c r="C524" s="12">
        <v>2021</v>
      </c>
      <c r="D524" s="12">
        <v>0.4</v>
      </c>
      <c r="E524" s="13"/>
      <c r="F524" s="12">
        <v>5</v>
      </c>
      <c r="G524" s="11">
        <v>13.2662</v>
      </c>
    </row>
    <row r="525" spans="1:7" x14ac:dyDescent="0.25">
      <c r="A525" s="12" t="s">
        <v>5</v>
      </c>
      <c r="B525" s="14" t="s">
        <v>180</v>
      </c>
      <c r="C525" s="12">
        <v>2021</v>
      </c>
      <c r="D525" s="12">
        <v>0.4</v>
      </c>
      <c r="E525" s="13"/>
      <c r="F525" s="12">
        <v>5</v>
      </c>
      <c r="G525" s="11">
        <v>13.303800000000001</v>
      </c>
    </row>
    <row r="526" spans="1:7" x14ac:dyDescent="0.25">
      <c r="A526" s="12" t="s">
        <v>5</v>
      </c>
      <c r="B526" s="14" t="s">
        <v>179</v>
      </c>
      <c r="C526" s="12">
        <v>2021</v>
      </c>
      <c r="D526" s="12">
        <v>0.4</v>
      </c>
      <c r="E526" s="13"/>
      <c r="F526" s="12">
        <v>5</v>
      </c>
      <c r="G526" s="11">
        <v>13.303699999999999</v>
      </c>
    </row>
    <row r="527" spans="1:7" x14ac:dyDescent="0.25">
      <c r="A527" s="12" t="s">
        <v>5</v>
      </c>
      <c r="B527" s="14" t="s">
        <v>178</v>
      </c>
      <c r="C527" s="12">
        <v>2021</v>
      </c>
      <c r="D527" s="12">
        <v>0.4</v>
      </c>
      <c r="E527" s="13"/>
      <c r="F527" s="12">
        <v>5</v>
      </c>
      <c r="G527" s="11">
        <v>13.303800000000001</v>
      </c>
    </row>
    <row r="528" spans="1:7" x14ac:dyDescent="0.25">
      <c r="A528" s="12" t="s">
        <v>13</v>
      </c>
      <c r="B528" s="14" t="s">
        <v>177</v>
      </c>
      <c r="C528" s="12">
        <v>2021</v>
      </c>
      <c r="D528" s="12">
        <v>0.4</v>
      </c>
      <c r="E528" s="13"/>
      <c r="F528" s="12">
        <v>14</v>
      </c>
      <c r="G528" s="11">
        <v>13.500400000000001</v>
      </c>
    </row>
    <row r="529" spans="1:7" x14ac:dyDescent="0.25">
      <c r="A529" s="12" t="s">
        <v>9</v>
      </c>
      <c r="B529" s="14" t="s">
        <v>176</v>
      </c>
      <c r="C529" s="12">
        <v>2021</v>
      </c>
      <c r="D529" s="12">
        <v>0.4</v>
      </c>
      <c r="E529" s="13"/>
      <c r="F529" s="12">
        <v>58</v>
      </c>
      <c r="G529" s="11">
        <v>23.749199999999998</v>
      </c>
    </row>
    <row r="530" spans="1:7" x14ac:dyDescent="0.25">
      <c r="A530" s="12" t="s">
        <v>9</v>
      </c>
      <c r="B530" s="14" t="s">
        <v>175</v>
      </c>
      <c r="C530" s="12">
        <v>2021</v>
      </c>
      <c r="D530" s="12">
        <v>0.4</v>
      </c>
      <c r="E530" s="13"/>
      <c r="F530" s="12">
        <v>50</v>
      </c>
      <c r="G530" s="11">
        <v>27.657</v>
      </c>
    </row>
    <row r="531" spans="1:7" x14ac:dyDescent="0.25">
      <c r="A531" s="12" t="s">
        <v>9</v>
      </c>
      <c r="B531" s="14" t="s">
        <v>174</v>
      </c>
      <c r="C531" s="12">
        <v>2021</v>
      </c>
      <c r="D531" s="12">
        <v>0.4</v>
      </c>
      <c r="E531" s="13"/>
      <c r="F531" s="12">
        <v>100</v>
      </c>
      <c r="G531" s="11">
        <v>13.1669</v>
      </c>
    </row>
    <row r="532" spans="1:7" x14ac:dyDescent="0.25">
      <c r="A532" s="12" t="s">
        <v>9</v>
      </c>
      <c r="B532" s="14" t="s">
        <v>173</v>
      </c>
      <c r="C532" s="12">
        <v>2021</v>
      </c>
      <c r="D532" s="12">
        <v>0.4</v>
      </c>
      <c r="E532" s="13"/>
      <c r="F532" s="12">
        <v>622</v>
      </c>
      <c r="G532" s="11">
        <v>22.500499999999999</v>
      </c>
    </row>
    <row r="533" spans="1:7" x14ac:dyDescent="0.25">
      <c r="A533" s="12" t="s">
        <v>13</v>
      </c>
      <c r="B533" s="14" t="s">
        <v>172</v>
      </c>
      <c r="C533" s="12">
        <v>2021</v>
      </c>
      <c r="D533" s="12">
        <v>0.4</v>
      </c>
      <c r="E533" s="13"/>
      <c r="F533" s="12">
        <v>10</v>
      </c>
      <c r="G533" s="11">
        <v>102.012</v>
      </c>
    </row>
    <row r="534" spans="1:7" x14ac:dyDescent="0.25">
      <c r="A534" s="12" t="s">
        <v>13</v>
      </c>
      <c r="B534" s="14" t="s">
        <v>171</v>
      </c>
      <c r="C534" s="12">
        <v>2021</v>
      </c>
      <c r="D534" s="12">
        <v>0.4</v>
      </c>
      <c r="E534" s="13"/>
      <c r="F534" s="12">
        <v>30</v>
      </c>
      <c r="G534" s="11">
        <v>23.7788</v>
      </c>
    </row>
    <row r="535" spans="1:7" x14ac:dyDescent="0.25">
      <c r="A535" s="12" t="s">
        <v>13</v>
      </c>
      <c r="B535" s="14" t="s">
        <v>170</v>
      </c>
      <c r="C535" s="12">
        <v>2021</v>
      </c>
      <c r="D535" s="12">
        <v>0.4</v>
      </c>
      <c r="E535" s="13"/>
      <c r="F535" s="12">
        <v>11.5</v>
      </c>
      <c r="G535" s="11">
        <v>25.353400000000001</v>
      </c>
    </row>
    <row r="536" spans="1:7" x14ac:dyDescent="0.25">
      <c r="A536" s="12" t="s">
        <v>5</v>
      </c>
      <c r="B536" s="14" t="s">
        <v>169</v>
      </c>
      <c r="C536" s="12">
        <v>2021</v>
      </c>
      <c r="D536" s="12">
        <v>0.4</v>
      </c>
      <c r="E536" s="13"/>
      <c r="F536" s="12">
        <v>5</v>
      </c>
      <c r="G536" s="11">
        <v>24.154399999999999</v>
      </c>
    </row>
    <row r="537" spans="1:7" x14ac:dyDescent="0.25">
      <c r="A537" s="12" t="s">
        <v>5</v>
      </c>
      <c r="B537" s="14" t="s">
        <v>168</v>
      </c>
      <c r="C537" s="12">
        <v>2021</v>
      </c>
      <c r="D537" s="12">
        <v>0.4</v>
      </c>
      <c r="E537" s="13"/>
      <c r="F537" s="12">
        <v>5</v>
      </c>
      <c r="G537" s="11">
        <v>13.7471</v>
      </c>
    </row>
    <row r="538" spans="1:7" x14ac:dyDescent="0.25">
      <c r="A538" s="12" t="s">
        <v>5</v>
      </c>
      <c r="B538" s="14" t="s">
        <v>167</v>
      </c>
      <c r="C538" s="12">
        <v>2021</v>
      </c>
      <c r="D538" s="12">
        <v>0.4</v>
      </c>
      <c r="E538" s="13"/>
      <c r="F538" s="12">
        <v>5</v>
      </c>
      <c r="G538" s="11">
        <v>13.7121</v>
      </c>
    </row>
    <row r="539" spans="1:7" x14ac:dyDescent="0.25">
      <c r="A539" s="12" t="s">
        <v>5</v>
      </c>
      <c r="B539" s="14" t="s">
        <v>166</v>
      </c>
      <c r="C539" s="12">
        <v>2021</v>
      </c>
      <c r="D539" s="12">
        <v>0.4</v>
      </c>
      <c r="E539" s="13"/>
      <c r="F539" s="12">
        <v>5</v>
      </c>
      <c r="G539" s="11">
        <v>13.7121</v>
      </c>
    </row>
    <row r="540" spans="1:7" x14ac:dyDescent="0.25">
      <c r="A540" s="12" t="s">
        <v>5</v>
      </c>
      <c r="B540" s="14" t="s">
        <v>165</v>
      </c>
      <c r="C540" s="12">
        <v>2021</v>
      </c>
      <c r="D540" s="12">
        <v>0.4</v>
      </c>
      <c r="E540" s="13"/>
      <c r="F540" s="12">
        <v>5</v>
      </c>
      <c r="G540" s="11">
        <v>13.0746</v>
      </c>
    </row>
    <row r="541" spans="1:7" x14ac:dyDescent="0.25">
      <c r="A541" s="12" t="s">
        <v>5</v>
      </c>
      <c r="B541" s="14" t="s">
        <v>164</v>
      </c>
      <c r="C541" s="12">
        <v>2021</v>
      </c>
      <c r="D541" s="12">
        <v>0.4</v>
      </c>
      <c r="E541" s="13"/>
      <c r="F541" s="12">
        <v>5</v>
      </c>
      <c r="G541" s="11">
        <v>13.7121</v>
      </c>
    </row>
    <row r="542" spans="1:7" x14ac:dyDescent="0.25">
      <c r="A542" s="12" t="s">
        <v>5</v>
      </c>
      <c r="B542" s="14" t="s">
        <v>163</v>
      </c>
      <c r="C542" s="12">
        <v>2021</v>
      </c>
      <c r="D542" s="12">
        <v>0.4</v>
      </c>
      <c r="E542" s="13"/>
      <c r="F542" s="12">
        <v>5</v>
      </c>
      <c r="G542" s="11">
        <v>13.019600000000001</v>
      </c>
    </row>
    <row r="543" spans="1:7" x14ac:dyDescent="0.25">
      <c r="A543" s="12" t="s">
        <v>5</v>
      </c>
      <c r="B543" s="14" t="s">
        <v>162</v>
      </c>
      <c r="C543" s="12">
        <v>2021</v>
      </c>
      <c r="D543" s="12">
        <v>0.4</v>
      </c>
      <c r="E543" s="13"/>
      <c r="F543" s="12">
        <v>5</v>
      </c>
      <c r="G543" s="11">
        <v>13.7121</v>
      </c>
    </row>
    <row r="544" spans="1:7" x14ac:dyDescent="0.25">
      <c r="A544" s="12" t="s">
        <v>5</v>
      </c>
      <c r="B544" s="14" t="s">
        <v>161</v>
      </c>
      <c r="C544" s="12">
        <v>2021</v>
      </c>
      <c r="D544" s="12">
        <v>0.4</v>
      </c>
      <c r="E544" s="13"/>
      <c r="F544" s="12">
        <v>5</v>
      </c>
      <c r="G544" s="11">
        <v>13.7471</v>
      </c>
    </row>
    <row r="545" spans="1:7" x14ac:dyDescent="0.25">
      <c r="A545" s="12" t="s">
        <v>5</v>
      </c>
      <c r="B545" s="14" t="s">
        <v>160</v>
      </c>
      <c r="C545" s="12">
        <v>2021</v>
      </c>
      <c r="D545" s="12">
        <v>0.4</v>
      </c>
      <c r="E545" s="13"/>
      <c r="F545" s="12">
        <v>5</v>
      </c>
      <c r="G545" s="11">
        <v>13.7471</v>
      </c>
    </row>
    <row r="546" spans="1:7" x14ac:dyDescent="0.25">
      <c r="A546" s="12" t="s">
        <v>5</v>
      </c>
      <c r="B546" s="14" t="s">
        <v>159</v>
      </c>
      <c r="C546" s="12">
        <v>2021</v>
      </c>
      <c r="D546" s="12">
        <v>0.4</v>
      </c>
      <c r="E546" s="13"/>
      <c r="F546" s="12">
        <v>5</v>
      </c>
      <c r="G546" s="11">
        <v>13.7471</v>
      </c>
    </row>
    <row r="547" spans="1:7" x14ac:dyDescent="0.25">
      <c r="A547" s="12" t="s">
        <v>5</v>
      </c>
      <c r="B547" s="14" t="s">
        <v>158</v>
      </c>
      <c r="C547" s="12">
        <v>2021</v>
      </c>
      <c r="D547" s="12">
        <v>0.4</v>
      </c>
      <c r="E547" s="13"/>
      <c r="F547" s="12">
        <v>5</v>
      </c>
      <c r="G547" s="11">
        <v>13.7471</v>
      </c>
    </row>
    <row r="548" spans="1:7" x14ac:dyDescent="0.25">
      <c r="A548" s="12" t="s">
        <v>5</v>
      </c>
      <c r="B548" s="14" t="s">
        <v>157</v>
      </c>
      <c r="C548" s="12">
        <v>2021</v>
      </c>
      <c r="D548" s="12">
        <v>0.4</v>
      </c>
      <c r="E548" s="13"/>
      <c r="F548" s="12">
        <v>5</v>
      </c>
      <c r="G548" s="11">
        <v>13.7471</v>
      </c>
    </row>
    <row r="549" spans="1:7" x14ac:dyDescent="0.25">
      <c r="A549" s="12" t="s">
        <v>5</v>
      </c>
      <c r="B549" s="14" t="s">
        <v>156</v>
      </c>
      <c r="C549" s="12">
        <v>2021</v>
      </c>
      <c r="D549" s="12">
        <v>0.4</v>
      </c>
      <c r="E549" s="13"/>
      <c r="F549" s="12">
        <v>5</v>
      </c>
      <c r="G549" s="11">
        <v>13.7471</v>
      </c>
    </row>
    <row r="550" spans="1:7" x14ac:dyDescent="0.25">
      <c r="A550" s="12" t="s">
        <v>5</v>
      </c>
      <c r="B550" s="14" t="s">
        <v>155</v>
      </c>
      <c r="C550" s="12">
        <v>2021</v>
      </c>
      <c r="D550" s="12">
        <v>0.4</v>
      </c>
      <c r="E550" s="13"/>
      <c r="F550" s="12">
        <v>5</v>
      </c>
      <c r="G550" s="11">
        <v>13.937200000000001</v>
      </c>
    </row>
    <row r="551" spans="1:7" x14ac:dyDescent="0.25">
      <c r="A551" s="12" t="s">
        <v>5</v>
      </c>
      <c r="B551" s="14" t="s">
        <v>154</v>
      </c>
      <c r="C551" s="12">
        <v>2021</v>
      </c>
      <c r="D551" s="12">
        <v>0.4</v>
      </c>
      <c r="E551" s="13"/>
      <c r="F551" s="12">
        <v>5</v>
      </c>
      <c r="G551" s="11">
        <v>13.679500000000001</v>
      </c>
    </row>
    <row r="552" spans="1:7" x14ac:dyDescent="0.25">
      <c r="A552" s="12" t="s">
        <v>5</v>
      </c>
      <c r="B552" s="14" t="s">
        <v>153</v>
      </c>
      <c r="C552" s="12">
        <v>2021</v>
      </c>
      <c r="D552" s="12">
        <v>0.4</v>
      </c>
      <c r="E552" s="13"/>
      <c r="F552" s="12">
        <v>5</v>
      </c>
      <c r="G552" s="11">
        <v>13.937200000000001</v>
      </c>
    </row>
    <row r="553" spans="1:7" x14ac:dyDescent="0.25">
      <c r="A553" s="12" t="s">
        <v>9</v>
      </c>
      <c r="B553" s="14" t="s">
        <v>152</v>
      </c>
      <c r="C553" s="12">
        <v>2021</v>
      </c>
      <c r="D553" s="12">
        <v>0.4</v>
      </c>
      <c r="E553" s="13"/>
      <c r="F553" s="12">
        <v>60</v>
      </c>
      <c r="G553" s="11">
        <v>13.679500000000001</v>
      </c>
    </row>
    <row r="554" spans="1:7" x14ac:dyDescent="0.25">
      <c r="A554" s="12" t="s">
        <v>13</v>
      </c>
      <c r="B554" s="14" t="s">
        <v>151</v>
      </c>
      <c r="C554" s="12">
        <v>2021</v>
      </c>
      <c r="D554" s="12">
        <v>0.4</v>
      </c>
      <c r="E554" s="13"/>
      <c r="F554" s="12">
        <v>15</v>
      </c>
      <c r="G554" s="11">
        <v>22.517399999999999</v>
      </c>
    </row>
    <row r="555" spans="1:7" x14ac:dyDescent="0.25">
      <c r="A555" s="12" t="s">
        <v>13</v>
      </c>
      <c r="B555" s="14" t="s">
        <v>150</v>
      </c>
      <c r="C555" s="12">
        <v>2021</v>
      </c>
      <c r="D555" s="12">
        <v>0.4</v>
      </c>
      <c r="E555" s="13"/>
      <c r="F555" s="12">
        <v>15</v>
      </c>
      <c r="G555" s="11">
        <v>24.3233</v>
      </c>
    </row>
    <row r="556" spans="1:7" x14ac:dyDescent="0.25">
      <c r="A556" s="12" t="s">
        <v>9</v>
      </c>
      <c r="B556" s="14" t="s">
        <v>149</v>
      </c>
      <c r="C556" s="12">
        <v>2021</v>
      </c>
      <c r="D556" s="12">
        <v>0.4</v>
      </c>
      <c r="E556" s="13"/>
      <c r="F556" s="12">
        <v>80</v>
      </c>
      <c r="G556" s="11">
        <v>25.406700000000001</v>
      </c>
    </row>
    <row r="557" spans="1:7" x14ac:dyDescent="0.25">
      <c r="A557" s="12" t="s">
        <v>9</v>
      </c>
      <c r="B557" s="14" t="s">
        <v>148</v>
      </c>
      <c r="C557" s="12">
        <v>2021</v>
      </c>
      <c r="D557" s="12">
        <v>0.4</v>
      </c>
      <c r="E557" s="13"/>
      <c r="F557" s="12">
        <v>180</v>
      </c>
      <c r="G557" s="11">
        <v>10.907500000000001</v>
      </c>
    </row>
    <row r="558" spans="1:7" x14ac:dyDescent="0.25">
      <c r="A558" s="12" t="s">
        <v>13</v>
      </c>
      <c r="B558" s="14" t="s">
        <v>147</v>
      </c>
      <c r="C558" s="12">
        <v>2021</v>
      </c>
      <c r="D558" s="12">
        <v>0.4</v>
      </c>
      <c r="E558" s="13"/>
      <c r="F558" s="12">
        <v>23</v>
      </c>
      <c r="G558" s="11">
        <v>12.1288</v>
      </c>
    </row>
    <row r="559" spans="1:7" x14ac:dyDescent="0.25">
      <c r="A559" s="12" t="s">
        <v>9</v>
      </c>
      <c r="B559" s="14" t="s">
        <v>146</v>
      </c>
      <c r="C559" s="12">
        <v>2021</v>
      </c>
      <c r="D559" s="12">
        <v>0.4</v>
      </c>
      <c r="E559" s="13"/>
      <c r="F559" s="12">
        <v>60</v>
      </c>
      <c r="G559" s="11">
        <v>26.607500000000002</v>
      </c>
    </row>
    <row r="560" spans="1:7" x14ac:dyDescent="0.25">
      <c r="A560" s="12" t="s">
        <v>13</v>
      </c>
      <c r="B560" s="14" t="s">
        <v>145</v>
      </c>
      <c r="C560" s="12">
        <v>2021</v>
      </c>
      <c r="D560" s="12">
        <v>0.4</v>
      </c>
      <c r="E560" s="13"/>
      <c r="F560" s="12">
        <v>15</v>
      </c>
      <c r="G560" s="11">
        <v>36.880299999999998</v>
      </c>
    </row>
    <row r="561" spans="1:7" x14ac:dyDescent="0.25">
      <c r="A561" s="12" t="s">
        <v>5</v>
      </c>
      <c r="B561" s="14" t="s">
        <v>144</v>
      </c>
      <c r="C561" s="12">
        <v>2021</v>
      </c>
      <c r="D561" s="12">
        <v>0.4</v>
      </c>
      <c r="E561" s="13"/>
      <c r="F561" s="12">
        <v>5</v>
      </c>
      <c r="G561" s="11">
        <v>25.299199999999999</v>
      </c>
    </row>
    <row r="562" spans="1:7" x14ac:dyDescent="0.25">
      <c r="A562" s="12" t="s">
        <v>9</v>
      </c>
      <c r="B562" s="14" t="s">
        <v>143</v>
      </c>
      <c r="C562" s="12">
        <v>2021</v>
      </c>
      <c r="D562" s="12">
        <v>0.4</v>
      </c>
      <c r="E562" s="13"/>
      <c r="F562" s="12">
        <v>70</v>
      </c>
      <c r="G562" s="11">
        <v>27.383400000000002</v>
      </c>
    </row>
    <row r="563" spans="1:7" x14ac:dyDescent="0.25">
      <c r="A563" s="12" t="s">
        <v>5</v>
      </c>
      <c r="B563" s="14" t="s">
        <v>142</v>
      </c>
      <c r="C563" s="12">
        <v>2021</v>
      </c>
      <c r="D563" s="12">
        <v>0.4</v>
      </c>
      <c r="E563" s="13"/>
      <c r="F563" s="12">
        <v>5</v>
      </c>
      <c r="G563" s="11">
        <v>25.774999999999999</v>
      </c>
    </row>
    <row r="564" spans="1:7" x14ac:dyDescent="0.25">
      <c r="A564" s="12" t="s">
        <v>9</v>
      </c>
      <c r="B564" s="14" t="s">
        <v>141</v>
      </c>
      <c r="C564" s="12">
        <v>2021</v>
      </c>
      <c r="D564" s="12">
        <v>0.4</v>
      </c>
      <c r="E564" s="13"/>
      <c r="F564" s="12">
        <v>135</v>
      </c>
      <c r="G564" s="11">
        <v>20.617599999999999</v>
      </c>
    </row>
    <row r="565" spans="1:7" x14ac:dyDescent="0.25">
      <c r="A565" s="12" t="s">
        <v>5</v>
      </c>
      <c r="B565" s="14" t="s">
        <v>140</v>
      </c>
      <c r="C565" s="12">
        <v>2021</v>
      </c>
      <c r="D565" s="12">
        <v>0.4</v>
      </c>
      <c r="E565" s="13"/>
      <c r="F565" s="12">
        <v>5</v>
      </c>
      <c r="G565" s="11">
        <v>9.8651</v>
      </c>
    </row>
    <row r="566" spans="1:7" x14ac:dyDescent="0.25">
      <c r="A566" s="12" t="s">
        <v>13</v>
      </c>
      <c r="B566" s="14" t="s">
        <v>139</v>
      </c>
      <c r="C566" s="12">
        <v>2021</v>
      </c>
      <c r="D566" s="12">
        <v>0.4</v>
      </c>
      <c r="E566" s="13"/>
      <c r="F566" s="12">
        <v>15</v>
      </c>
      <c r="G566" s="11">
        <v>12.891999999999999</v>
      </c>
    </row>
    <row r="567" spans="1:7" x14ac:dyDescent="0.25">
      <c r="A567" s="12" t="s">
        <v>13</v>
      </c>
      <c r="B567" s="14" t="s">
        <v>138</v>
      </c>
      <c r="C567" s="12">
        <v>2021</v>
      </c>
      <c r="D567" s="12">
        <v>0.4</v>
      </c>
      <c r="E567" s="13"/>
      <c r="F567" s="12">
        <v>45</v>
      </c>
      <c r="G567" s="11">
        <v>23.2638</v>
      </c>
    </row>
    <row r="568" spans="1:7" x14ac:dyDescent="0.25">
      <c r="A568" s="12" t="s">
        <v>13</v>
      </c>
      <c r="B568" s="14" t="s">
        <v>137</v>
      </c>
      <c r="C568" s="12">
        <v>2021</v>
      </c>
      <c r="D568" s="12">
        <v>0.4</v>
      </c>
      <c r="E568" s="13"/>
      <c r="F568" s="12">
        <v>28</v>
      </c>
      <c r="G568" s="11">
        <v>24.904599999999999</v>
      </c>
    </row>
    <row r="569" spans="1:7" x14ac:dyDescent="0.25">
      <c r="A569" s="12" t="s">
        <v>5</v>
      </c>
      <c r="B569" s="14" t="s">
        <v>136</v>
      </c>
      <c r="C569" s="12">
        <v>2021</v>
      </c>
      <c r="D569" s="12">
        <v>0.4</v>
      </c>
      <c r="E569" s="13"/>
      <c r="F569" s="12">
        <v>5</v>
      </c>
      <c r="G569" s="11">
        <v>25.818000000000001</v>
      </c>
    </row>
    <row r="570" spans="1:7" x14ac:dyDescent="0.25">
      <c r="A570" s="12" t="s">
        <v>5</v>
      </c>
      <c r="B570" s="14" t="s">
        <v>135</v>
      </c>
      <c r="C570" s="12">
        <v>2021</v>
      </c>
      <c r="D570" s="12">
        <v>0.4</v>
      </c>
      <c r="E570" s="13"/>
      <c r="F570" s="12">
        <v>5</v>
      </c>
      <c r="G570" s="11">
        <v>14.3315</v>
      </c>
    </row>
    <row r="571" spans="1:7" x14ac:dyDescent="0.25">
      <c r="A571" s="12" t="s">
        <v>13</v>
      </c>
      <c r="B571" s="14" t="s">
        <v>134</v>
      </c>
      <c r="C571" s="12">
        <v>2021</v>
      </c>
      <c r="D571" s="12">
        <v>0.4</v>
      </c>
      <c r="E571" s="13"/>
      <c r="F571" s="12">
        <v>44.5</v>
      </c>
      <c r="G571" s="11">
        <v>13.7029</v>
      </c>
    </row>
    <row r="572" spans="1:7" x14ac:dyDescent="0.25">
      <c r="A572" s="12" t="s">
        <v>13</v>
      </c>
      <c r="B572" s="14" t="s">
        <v>133</v>
      </c>
      <c r="C572" s="12">
        <v>2021</v>
      </c>
      <c r="D572" s="12">
        <v>0.4</v>
      </c>
      <c r="E572" s="13"/>
      <c r="F572" s="12">
        <v>15</v>
      </c>
      <c r="G572" s="11">
        <v>35.235700000000001</v>
      </c>
    </row>
    <row r="573" spans="1:7" x14ac:dyDescent="0.25">
      <c r="A573" s="12" t="s">
        <v>5</v>
      </c>
      <c r="B573" s="14" t="s">
        <v>132</v>
      </c>
      <c r="C573" s="12">
        <v>2021</v>
      </c>
      <c r="D573" s="12">
        <v>0.4</v>
      </c>
      <c r="E573" s="13"/>
      <c r="F573" s="12">
        <v>5</v>
      </c>
      <c r="G573" s="11">
        <v>25.629100000000001</v>
      </c>
    </row>
    <row r="574" spans="1:7" x14ac:dyDescent="0.25">
      <c r="A574" s="12" t="s">
        <v>5</v>
      </c>
      <c r="B574" s="14" t="s">
        <v>131</v>
      </c>
      <c r="C574" s="12">
        <v>2021</v>
      </c>
      <c r="D574" s="12">
        <v>0.4</v>
      </c>
      <c r="E574" s="13"/>
      <c r="F574" s="12">
        <v>5</v>
      </c>
      <c r="G574" s="11">
        <v>13.009600000000001</v>
      </c>
    </row>
    <row r="575" spans="1:7" x14ac:dyDescent="0.25">
      <c r="A575" s="12" t="s">
        <v>13</v>
      </c>
      <c r="B575" s="14" t="s">
        <v>130</v>
      </c>
      <c r="C575" s="12">
        <v>2021</v>
      </c>
      <c r="D575" s="12">
        <v>0.4</v>
      </c>
      <c r="E575" s="13"/>
      <c r="F575" s="12">
        <v>30</v>
      </c>
      <c r="G575" s="11">
        <v>13.8187</v>
      </c>
    </row>
    <row r="576" spans="1:7" x14ac:dyDescent="0.25">
      <c r="A576" s="12" t="s">
        <v>13</v>
      </c>
      <c r="B576" s="14" t="s">
        <v>129</v>
      </c>
      <c r="C576" s="12">
        <v>2021</v>
      </c>
      <c r="D576" s="12">
        <v>0.4</v>
      </c>
      <c r="E576" s="13"/>
      <c r="F576" s="12">
        <v>30</v>
      </c>
      <c r="G576" s="11">
        <v>51.136400000000002</v>
      </c>
    </row>
    <row r="577" spans="1:8" x14ac:dyDescent="0.25">
      <c r="A577" s="12" t="s">
        <v>5</v>
      </c>
      <c r="B577" s="14" t="s">
        <v>128</v>
      </c>
      <c r="C577" s="12">
        <v>2021</v>
      </c>
      <c r="D577" s="12">
        <v>0.4</v>
      </c>
      <c r="E577" s="13"/>
      <c r="F577" s="12">
        <v>5</v>
      </c>
      <c r="G577" s="11">
        <v>35.314999999999998</v>
      </c>
    </row>
    <row r="578" spans="1:8" x14ac:dyDescent="0.25">
      <c r="A578" s="12" t="s">
        <v>13</v>
      </c>
      <c r="B578" s="14" t="s">
        <v>127</v>
      </c>
      <c r="C578" s="12">
        <v>2021</v>
      </c>
      <c r="D578" s="12">
        <v>0.4</v>
      </c>
      <c r="E578" s="13"/>
      <c r="F578" s="12">
        <v>15</v>
      </c>
      <c r="G578" s="11">
        <v>13.043100000000001</v>
      </c>
    </row>
    <row r="579" spans="1:8" x14ac:dyDescent="0.25">
      <c r="A579" s="12" t="s">
        <v>13</v>
      </c>
      <c r="B579" s="14" t="s">
        <v>126</v>
      </c>
      <c r="C579" s="12">
        <v>2021</v>
      </c>
      <c r="D579" s="12">
        <v>0.4</v>
      </c>
      <c r="E579" s="13"/>
      <c r="F579" s="12">
        <v>15</v>
      </c>
      <c r="G579" s="11">
        <v>23.331199999999999</v>
      </c>
    </row>
    <row r="580" spans="1:8" x14ac:dyDescent="0.25">
      <c r="A580" s="12" t="s">
        <v>5</v>
      </c>
      <c r="B580" s="14" t="s">
        <v>125</v>
      </c>
      <c r="C580" s="12">
        <v>2021</v>
      </c>
      <c r="D580" s="12">
        <v>0.4</v>
      </c>
      <c r="E580" s="13"/>
      <c r="F580" s="12">
        <v>5</v>
      </c>
      <c r="G580" s="11">
        <v>19.840399999999999</v>
      </c>
    </row>
    <row r="581" spans="1:8" x14ac:dyDescent="0.25">
      <c r="A581" s="12" t="s">
        <v>13</v>
      </c>
      <c r="B581" s="14" t="s">
        <v>124</v>
      </c>
      <c r="C581" s="12">
        <v>2021</v>
      </c>
      <c r="D581" s="12">
        <v>0.4</v>
      </c>
      <c r="E581" s="13"/>
      <c r="F581" s="12">
        <v>15</v>
      </c>
      <c r="G581" s="11">
        <v>13.0558</v>
      </c>
    </row>
    <row r="582" spans="1:8" x14ac:dyDescent="0.25">
      <c r="A582" s="12" t="s">
        <v>13</v>
      </c>
      <c r="B582" s="14" t="s">
        <v>123</v>
      </c>
      <c r="C582" s="12">
        <v>2021</v>
      </c>
      <c r="D582" s="12">
        <v>0.4</v>
      </c>
      <c r="E582" s="13"/>
      <c r="F582" s="12">
        <v>15</v>
      </c>
      <c r="G582" s="11">
        <v>22.046299999999999</v>
      </c>
    </row>
    <row r="583" spans="1:8" x14ac:dyDescent="0.25">
      <c r="A583" s="105" t="s">
        <v>13</v>
      </c>
      <c r="B583" s="94" t="s">
        <v>122</v>
      </c>
      <c r="C583" s="118">
        <v>2022</v>
      </c>
      <c r="D583" s="96">
        <v>0.4</v>
      </c>
      <c r="E583" s="96"/>
      <c r="F583" s="97">
        <v>15</v>
      </c>
      <c r="G583" s="106">
        <f>8529.9</f>
        <v>8529.9</v>
      </c>
      <c r="H583" s="147">
        <f>G583/1000</f>
        <v>8.5298999999999996</v>
      </c>
    </row>
    <row r="584" spans="1:8" x14ac:dyDescent="0.25">
      <c r="A584" s="105" t="s">
        <v>13</v>
      </c>
      <c r="B584" s="94" t="s">
        <v>121</v>
      </c>
      <c r="C584" s="95">
        <v>2022</v>
      </c>
      <c r="D584" s="96">
        <v>0.4</v>
      </c>
      <c r="E584" s="96"/>
      <c r="F584" s="97">
        <v>15</v>
      </c>
      <c r="G584" s="106">
        <f>25280.98</f>
        <v>25280.98</v>
      </c>
      <c r="H584" s="147">
        <f t="shared" ref="H584:H647" si="6">G584/1000</f>
        <v>25.28098</v>
      </c>
    </row>
    <row r="585" spans="1:8" x14ac:dyDescent="0.25">
      <c r="A585" s="105" t="s">
        <v>13</v>
      </c>
      <c r="B585" s="94" t="s">
        <v>399</v>
      </c>
      <c r="C585" s="95">
        <v>2022</v>
      </c>
      <c r="D585" s="96">
        <v>0.4</v>
      </c>
      <c r="E585" s="96"/>
      <c r="F585" s="99">
        <v>10</v>
      </c>
      <c r="G585" s="107"/>
      <c r="H585" s="147">
        <f t="shared" si="6"/>
        <v>0</v>
      </c>
    </row>
    <row r="586" spans="1:8" x14ac:dyDescent="0.25">
      <c r="A586" s="105" t="s">
        <v>13</v>
      </c>
      <c r="B586" s="94" t="s">
        <v>120</v>
      </c>
      <c r="C586" s="95">
        <v>2022</v>
      </c>
      <c r="D586" s="96">
        <v>0.4</v>
      </c>
      <c r="E586" s="96"/>
      <c r="F586" s="97">
        <v>15</v>
      </c>
      <c r="G586" s="108">
        <f>27489.39</f>
        <v>27489.39</v>
      </c>
      <c r="H586" s="147">
        <f t="shared" si="6"/>
        <v>27.48939</v>
      </c>
    </row>
    <row r="587" spans="1:8" x14ac:dyDescent="0.25">
      <c r="A587" s="105" t="s">
        <v>5</v>
      </c>
      <c r="B587" s="94" t="s">
        <v>684</v>
      </c>
      <c r="C587" s="95">
        <v>2022</v>
      </c>
      <c r="D587" s="96">
        <v>0.4</v>
      </c>
      <c r="E587" s="96"/>
      <c r="F587" s="97">
        <v>3</v>
      </c>
      <c r="G587" s="109">
        <f>41029.35/3</f>
        <v>13676.449999999999</v>
      </c>
      <c r="H587" s="147">
        <f t="shared" si="6"/>
        <v>13.676449999999999</v>
      </c>
    </row>
    <row r="588" spans="1:8" x14ac:dyDescent="0.25">
      <c r="A588" s="105" t="s">
        <v>5</v>
      </c>
      <c r="B588" s="94" t="s">
        <v>684</v>
      </c>
      <c r="C588" s="95">
        <v>2022</v>
      </c>
      <c r="D588" s="96">
        <v>0.4</v>
      </c>
      <c r="E588" s="96"/>
      <c r="F588" s="97">
        <v>3</v>
      </c>
      <c r="G588" s="109">
        <f>41029.35/3</f>
        <v>13676.449999999999</v>
      </c>
      <c r="H588" s="147">
        <f t="shared" si="6"/>
        <v>13.676449999999999</v>
      </c>
    </row>
    <row r="589" spans="1:8" x14ac:dyDescent="0.25">
      <c r="A589" s="105" t="s">
        <v>5</v>
      </c>
      <c r="B589" s="94" t="s">
        <v>684</v>
      </c>
      <c r="C589" s="95">
        <v>2022</v>
      </c>
      <c r="D589" s="96">
        <v>0.4</v>
      </c>
      <c r="E589" s="96"/>
      <c r="F589" s="97">
        <v>3</v>
      </c>
      <c r="G589" s="109">
        <f>41029.35/3</f>
        <v>13676.449999999999</v>
      </c>
      <c r="H589" s="147">
        <f t="shared" si="6"/>
        <v>13.676449999999999</v>
      </c>
    </row>
    <row r="590" spans="1:8" x14ac:dyDescent="0.25">
      <c r="A590" s="105" t="s">
        <v>5</v>
      </c>
      <c r="B590" s="94" t="s">
        <v>396</v>
      </c>
      <c r="C590" s="95">
        <v>2022</v>
      </c>
      <c r="D590" s="96">
        <v>0.4</v>
      </c>
      <c r="E590" s="96"/>
      <c r="F590" s="97">
        <v>5</v>
      </c>
      <c r="G590" s="98">
        <f>8600.66</f>
        <v>8600.66</v>
      </c>
      <c r="H590" s="147">
        <f t="shared" si="6"/>
        <v>8.6006599999999995</v>
      </c>
    </row>
    <row r="591" spans="1:8" x14ac:dyDescent="0.25">
      <c r="A591" s="105" t="s">
        <v>13</v>
      </c>
      <c r="B591" s="94" t="s">
        <v>571</v>
      </c>
      <c r="C591" s="95">
        <v>2022</v>
      </c>
      <c r="D591" s="96">
        <v>0.4</v>
      </c>
      <c r="E591" s="96"/>
      <c r="F591" s="97">
        <v>15</v>
      </c>
      <c r="G591" s="106">
        <f>23731.76</f>
        <v>23731.759999999998</v>
      </c>
      <c r="H591" s="147">
        <f t="shared" si="6"/>
        <v>23.731759999999998</v>
      </c>
    </row>
    <row r="592" spans="1:8" x14ac:dyDescent="0.25">
      <c r="A592" s="105" t="s">
        <v>13</v>
      </c>
      <c r="B592" s="94" t="s">
        <v>395</v>
      </c>
      <c r="C592" s="95">
        <v>2022</v>
      </c>
      <c r="D592" s="96">
        <v>0.4</v>
      </c>
      <c r="E592" s="96"/>
      <c r="F592" s="97">
        <v>15</v>
      </c>
      <c r="G592" s="106">
        <v>25422.84</v>
      </c>
      <c r="H592" s="147">
        <f t="shared" si="6"/>
        <v>25.422840000000001</v>
      </c>
    </row>
    <row r="593" spans="1:8" x14ac:dyDescent="0.25">
      <c r="A593" s="105" t="s">
        <v>13</v>
      </c>
      <c r="B593" s="94" t="s">
        <v>395</v>
      </c>
      <c r="C593" s="95">
        <v>2022</v>
      </c>
      <c r="D593" s="96">
        <v>0.4</v>
      </c>
      <c r="E593" s="96"/>
      <c r="F593" s="97">
        <v>15</v>
      </c>
      <c r="G593" s="106">
        <v>25422.84</v>
      </c>
      <c r="H593" s="147">
        <f t="shared" si="6"/>
        <v>25.422840000000001</v>
      </c>
    </row>
    <row r="594" spans="1:8" x14ac:dyDescent="0.25">
      <c r="A594" s="105" t="s">
        <v>5</v>
      </c>
      <c r="B594" s="94" t="s">
        <v>119</v>
      </c>
      <c r="C594" s="95">
        <v>2022</v>
      </c>
      <c r="D594" s="96">
        <v>0.4</v>
      </c>
      <c r="E594" s="96"/>
      <c r="F594" s="97">
        <v>5</v>
      </c>
      <c r="G594" s="98">
        <f>12016.95</f>
        <v>12016.95</v>
      </c>
      <c r="H594" s="147">
        <f t="shared" si="6"/>
        <v>12.016950000000001</v>
      </c>
    </row>
    <row r="595" spans="1:8" x14ac:dyDescent="0.25">
      <c r="A595" s="105" t="s">
        <v>5</v>
      </c>
      <c r="B595" s="94" t="s">
        <v>119</v>
      </c>
      <c r="C595" s="95">
        <v>2022</v>
      </c>
      <c r="D595" s="96">
        <v>0.4</v>
      </c>
      <c r="E595" s="96"/>
      <c r="F595" s="97">
        <v>5</v>
      </c>
      <c r="G595" s="98">
        <f>11264.27</f>
        <v>11264.27</v>
      </c>
      <c r="H595" s="147">
        <f t="shared" si="6"/>
        <v>11.26427</v>
      </c>
    </row>
    <row r="596" spans="1:8" x14ac:dyDescent="0.25">
      <c r="A596" s="105" t="s">
        <v>5</v>
      </c>
      <c r="B596" s="94" t="s">
        <v>118</v>
      </c>
      <c r="C596" s="95">
        <v>2022</v>
      </c>
      <c r="D596" s="96">
        <v>0.4</v>
      </c>
      <c r="E596" s="96"/>
      <c r="F596" s="97">
        <v>5</v>
      </c>
      <c r="G596" s="98">
        <f>12014.45</f>
        <v>12014.45</v>
      </c>
      <c r="H596" s="147">
        <f t="shared" si="6"/>
        <v>12.01445</v>
      </c>
    </row>
    <row r="597" spans="1:8" x14ac:dyDescent="0.25">
      <c r="A597" s="105" t="s">
        <v>5</v>
      </c>
      <c r="B597" s="94" t="s">
        <v>117</v>
      </c>
      <c r="C597" s="95">
        <v>2022</v>
      </c>
      <c r="D597" s="96">
        <v>0.4</v>
      </c>
      <c r="E597" s="96"/>
      <c r="F597" s="97">
        <v>5</v>
      </c>
      <c r="G597" s="98">
        <f>12014.45</f>
        <v>12014.45</v>
      </c>
      <c r="H597" s="147">
        <f t="shared" si="6"/>
        <v>12.01445</v>
      </c>
    </row>
    <row r="598" spans="1:8" x14ac:dyDescent="0.25">
      <c r="A598" s="105" t="s">
        <v>5</v>
      </c>
      <c r="B598" s="94" t="s">
        <v>393</v>
      </c>
      <c r="C598" s="95">
        <v>2022</v>
      </c>
      <c r="D598" s="96">
        <v>0.4</v>
      </c>
      <c r="E598" s="96"/>
      <c r="F598" s="97">
        <v>2</v>
      </c>
      <c r="G598" s="98">
        <f>12014.45</f>
        <v>12014.45</v>
      </c>
      <c r="H598" s="147">
        <f t="shared" si="6"/>
        <v>12.01445</v>
      </c>
    </row>
    <row r="599" spans="1:8" x14ac:dyDescent="0.25">
      <c r="A599" s="105" t="s">
        <v>13</v>
      </c>
      <c r="B599" s="94" t="s">
        <v>116</v>
      </c>
      <c r="C599" s="95">
        <v>2022</v>
      </c>
      <c r="D599" s="96">
        <v>0.4</v>
      </c>
      <c r="E599" s="96"/>
      <c r="F599" s="97">
        <v>15</v>
      </c>
      <c r="G599" s="106">
        <f>28521.45</f>
        <v>28521.45</v>
      </c>
      <c r="H599" s="147">
        <f t="shared" si="6"/>
        <v>28.521450000000002</v>
      </c>
    </row>
    <row r="600" spans="1:8" x14ac:dyDescent="0.25">
      <c r="A600" s="105" t="s">
        <v>5</v>
      </c>
      <c r="B600" s="94" t="s">
        <v>391</v>
      </c>
      <c r="C600" s="95">
        <v>2022</v>
      </c>
      <c r="D600" s="96">
        <v>0.4</v>
      </c>
      <c r="E600" s="96"/>
      <c r="F600" s="97">
        <v>5</v>
      </c>
      <c r="G600" s="101">
        <f>29522.74</f>
        <v>29522.74</v>
      </c>
      <c r="H600" s="147">
        <f t="shared" si="6"/>
        <v>29.522740000000002</v>
      </c>
    </row>
    <row r="601" spans="1:8" x14ac:dyDescent="0.25">
      <c r="A601" s="105" t="s">
        <v>13</v>
      </c>
      <c r="B601" s="94" t="s">
        <v>570</v>
      </c>
      <c r="C601" s="95">
        <v>2022</v>
      </c>
      <c r="D601" s="96">
        <v>0.4</v>
      </c>
      <c r="E601" s="96"/>
      <c r="F601" s="97">
        <v>15</v>
      </c>
      <c r="G601" s="106">
        <f>46792.47/2</f>
        <v>23396.235000000001</v>
      </c>
      <c r="H601" s="147">
        <f t="shared" si="6"/>
        <v>23.396235000000001</v>
      </c>
    </row>
    <row r="602" spans="1:8" x14ac:dyDescent="0.25">
      <c r="A602" s="105" t="s">
        <v>13</v>
      </c>
      <c r="B602" s="94" t="s">
        <v>115</v>
      </c>
      <c r="C602" s="95">
        <v>2022</v>
      </c>
      <c r="D602" s="96">
        <v>0.4</v>
      </c>
      <c r="E602" s="96"/>
      <c r="F602" s="97">
        <v>15</v>
      </c>
      <c r="G602" s="106">
        <f>46792.47/2</f>
        <v>23396.235000000001</v>
      </c>
      <c r="H602" s="147">
        <f t="shared" si="6"/>
        <v>23.396235000000001</v>
      </c>
    </row>
    <row r="603" spans="1:8" x14ac:dyDescent="0.25">
      <c r="A603" s="105" t="s">
        <v>13</v>
      </c>
      <c r="B603" s="94" t="s">
        <v>114</v>
      </c>
      <c r="C603" s="95">
        <v>2022</v>
      </c>
      <c r="D603" s="96">
        <v>0.4</v>
      </c>
      <c r="E603" s="96"/>
      <c r="F603" s="97">
        <v>15</v>
      </c>
      <c r="G603" s="106">
        <f>25194.06</f>
        <v>25194.06</v>
      </c>
      <c r="H603" s="147">
        <f t="shared" si="6"/>
        <v>25.19406</v>
      </c>
    </row>
    <row r="604" spans="1:8" x14ac:dyDescent="0.25">
      <c r="A604" s="105" t="s">
        <v>13</v>
      </c>
      <c r="B604" s="94" t="s">
        <v>113</v>
      </c>
      <c r="C604" s="95">
        <v>2022</v>
      </c>
      <c r="D604" s="96">
        <v>0.4</v>
      </c>
      <c r="E604" s="96"/>
      <c r="F604" s="97">
        <v>15</v>
      </c>
      <c r="G604" s="106">
        <f>26988</f>
        <v>26988</v>
      </c>
      <c r="H604" s="147">
        <f t="shared" si="6"/>
        <v>26.988</v>
      </c>
    </row>
    <row r="605" spans="1:8" x14ac:dyDescent="0.25">
      <c r="A605" s="105" t="s">
        <v>13</v>
      </c>
      <c r="B605" s="94" t="s">
        <v>112</v>
      </c>
      <c r="C605" s="95">
        <v>2022</v>
      </c>
      <c r="D605" s="96">
        <v>0.4</v>
      </c>
      <c r="E605" s="96"/>
      <c r="F605" s="97">
        <v>15</v>
      </c>
      <c r="G605" s="106">
        <f>25337.64</f>
        <v>25337.64</v>
      </c>
      <c r="H605" s="147">
        <f t="shared" si="6"/>
        <v>25.33764</v>
      </c>
    </row>
    <row r="606" spans="1:8" x14ac:dyDescent="0.25">
      <c r="A606" s="105" t="s">
        <v>13</v>
      </c>
      <c r="B606" s="94" t="s">
        <v>569</v>
      </c>
      <c r="C606" s="95">
        <v>2022</v>
      </c>
      <c r="D606" s="96">
        <v>0.4</v>
      </c>
      <c r="E606" s="96"/>
      <c r="F606" s="97">
        <v>15</v>
      </c>
      <c r="G606" s="106">
        <f>(60341.9)/2</f>
        <v>30170.95</v>
      </c>
      <c r="H606" s="147">
        <f t="shared" si="6"/>
        <v>30.170950000000001</v>
      </c>
    </row>
    <row r="607" spans="1:8" x14ac:dyDescent="0.25">
      <c r="A607" s="105" t="s">
        <v>13</v>
      </c>
      <c r="B607" s="94" t="s">
        <v>569</v>
      </c>
      <c r="C607" s="95">
        <v>2022</v>
      </c>
      <c r="D607" s="96">
        <v>0.4</v>
      </c>
      <c r="E607" s="96"/>
      <c r="F607" s="97">
        <v>15</v>
      </c>
      <c r="G607" s="106">
        <f>(60341.9)/2</f>
        <v>30170.95</v>
      </c>
      <c r="H607" s="147">
        <f t="shared" si="6"/>
        <v>30.170950000000001</v>
      </c>
    </row>
    <row r="608" spans="1:8" x14ac:dyDescent="0.25">
      <c r="A608" s="105" t="s">
        <v>13</v>
      </c>
      <c r="B608" s="94" t="s">
        <v>111</v>
      </c>
      <c r="C608" s="95">
        <v>2022</v>
      </c>
      <c r="D608" s="96">
        <v>0.4</v>
      </c>
      <c r="E608" s="96"/>
      <c r="F608" s="97">
        <v>15</v>
      </c>
      <c r="G608" s="106">
        <f>25280.98</f>
        <v>25280.98</v>
      </c>
      <c r="H608" s="147">
        <f t="shared" si="6"/>
        <v>25.28098</v>
      </c>
    </row>
    <row r="609" spans="1:8" x14ac:dyDescent="0.25">
      <c r="A609" s="105" t="s">
        <v>13</v>
      </c>
      <c r="B609" s="94" t="s">
        <v>110</v>
      </c>
      <c r="C609" s="95">
        <v>2022</v>
      </c>
      <c r="D609" s="96">
        <v>0.4</v>
      </c>
      <c r="E609" s="96"/>
      <c r="F609" s="97">
        <v>15</v>
      </c>
      <c r="G609" s="106">
        <f>26770.82</f>
        <v>26770.82</v>
      </c>
      <c r="H609" s="147">
        <f t="shared" si="6"/>
        <v>26.770820000000001</v>
      </c>
    </row>
    <row r="610" spans="1:8" x14ac:dyDescent="0.25">
      <c r="A610" s="105" t="s">
        <v>13</v>
      </c>
      <c r="B610" s="94" t="s">
        <v>109</v>
      </c>
      <c r="C610" s="95">
        <v>2022</v>
      </c>
      <c r="D610" s="96">
        <v>0.4</v>
      </c>
      <c r="E610" s="96"/>
      <c r="F610" s="97">
        <v>15</v>
      </c>
      <c r="G610" s="106">
        <f>24610.83</f>
        <v>24610.83</v>
      </c>
      <c r="H610" s="147">
        <f t="shared" si="6"/>
        <v>24.61083</v>
      </c>
    </row>
    <row r="611" spans="1:8" x14ac:dyDescent="0.25">
      <c r="A611" s="105" t="s">
        <v>5</v>
      </c>
      <c r="B611" s="94" t="s">
        <v>394</v>
      </c>
      <c r="C611" s="95">
        <v>2022</v>
      </c>
      <c r="D611" s="96">
        <v>0.4</v>
      </c>
      <c r="E611" s="96"/>
      <c r="F611" s="97">
        <v>5</v>
      </c>
      <c r="G611" s="109">
        <f>29522.75</f>
        <v>29522.75</v>
      </c>
      <c r="H611" s="147">
        <f t="shared" si="6"/>
        <v>29.522749999999998</v>
      </c>
    </row>
    <row r="612" spans="1:8" x14ac:dyDescent="0.25">
      <c r="A612" s="105" t="s">
        <v>5</v>
      </c>
      <c r="B612" s="94" t="s">
        <v>568</v>
      </c>
      <c r="C612" s="95">
        <v>2022</v>
      </c>
      <c r="D612" s="96">
        <v>0.4</v>
      </c>
      <c r="E612" s="96"/>
      <c r="F612" s="97">
        <v>5</v>
      </c>
      <c r="G612" s="106">
        <f t="shared" ref="G612:G617" si="7">(80686.1)/6</f>
        <v>13447.683333333334</v>
      </c>
      <c r="H612" s="147">
        <f t="shared" si="6"/>
        <v>13.447683333333334</v>
      </c>
    </row>
    <row r="613" spans="1:8" x14ac:dyDescent="0.25">
      <c r="A613" s="105" t="s">
        <v>5</v>
      </c>
      <c r="B613" s="94" t="s">
        <v>568</v>
      </c>
      <c r="C613" s="95">
        <v>2022</v>
      </c>
      <c r="D613" s="96">
        <v>0.4</v>
      </c>
      <c r="E613" s="96"/>
      <c r="F613" s="97">
        <v>5</v>
      </c>
      <c r="G613" s="106">
        <f t="shared" si="7"/>
        <v>13447.683333333334</v>
      </c>
      <c r="H613" s="147">
        <f t="shared" si="6"/>
        <v>13.447683333333334</v>
      </c>
    </row>
    <row r="614" spans="1:8" x14ac:dyDescent="0.25">
      <c r="A614" s="105" t="s">
        <v>5</v>
      </c>
      <c r="B614" s="94" t="s">
        <v>568</v>
      </c>
      <c r="C614" s="95">
        <v>2022</v>
      </c>
      <c r="D614" s="96">
        <v>0.4</v>
      </c>
      <c r="E614" s="96"/>
      <c r="F614" s="97">
        <v>5</v>
      </c>
      <c r="G614" s="106">
        <f t="shared" si="7"/>
        <v>13447.683333333334</v>
      </c>
      <c r="H614" s="147">
        <f t="shared" si="6"/>
        <v>13.447683333333334</v>
      </c>
    </row>
    <row r="615" spans="1:8" x14ac:dyDescent="0.25">
      <c r="A615" s="105" t="s">
        <v>5</v>
      </c>
      <c r="B615" s="94" t="s">
        <v>568</v>
      </c>
      <c r="C615" s="95">
        <v>2022</v>
      </c>
      <c r="D615" s="96">
        <v>0.4</v>
      </c>
      <c r="E615" s="96"/>
      <c r="F615" s="97">
        <v>5</v>
      </c>
      <c r="G615" s="106">
        <f t="shared" si="7"/>
        <v>13447.683333333334</v>
      </c>
      <c r="H615" s="147">
        <f t="shared" si="6"/>
        <v>13.447683333333334</v>
      </c>
    </row>
    <row r="616" spans="1:8" x14ac:dyDescent="0.25">
      <c r="A616" s="105" t="s">
        <v>5</v>
      </c>
      <c r="B616" s="94" t="s">
        <v>568</v>
      </c>
      <c r="C616" s="95">
        <v>2022</v>
      </c>
      <c r="D616" s="96">
        <v>0.4</v>
      </c>
      <c r="E616" s="96"/>
      <c r="F616" s="97">
        <v>5</v>
      </c>
      <c r="G616" s="106">
        <f t="shared" si="7"/>
        <v>13447.683333333334</v>
      </c>
      <c r="H616" s="147">
        <f t="shared" si="6"/>
        <v>13.447683333333334</v>
      </c>
    </row>
    <row r="617" spans="1:8" x14ac:dyDescent="0.25">
      <c r="A617" s="105" t="s">
        <v>5</v>
      </c>
      <c r="B617" s="94" t="s">
        <v>568</v>
      </c>
      <c r="C617" s="95">
        <v>2022</v>
      </c>
      <c r="D617" s="96">
        <v>0.4</v>
      </c>
      <c r="E617" s="96"/>
      <c r="F617" s="97">
        <v>5</v>
      </c>
      <c r="G617" s="106">
        <f t="shared" si="7"/>
        <v>13447.683333333334</v>
      </c>
      <c r="H617" s="147">
        <f t="shared" si="6"/>
        <v>13.447683333333334</v>
      </c>
    </row>
    <row r="618" spans="1:8" x14ac:dyDescent="0.25">
      <c r="A618" s="105" t="s">
        <v>13</v>
      </c>
      <c r="B618" s="94" t="s">
        <v>108</v>
      </c>
      <c r="C618" s="95">
        <v>2022</v>
      </c>
      <c r="D618" s="96">
        <v>0.4</v>
      </c>
      <c r="E618" s="96"/>
      <c r="F618" s="97">
        <v>15</v>
      </c>
      <c r="G618" s="106">
        <f>25379.15</f>
        <v>25379.15</v>
      </c>
      <c r="H618" s="147">
        <f t="shared" si="6"/>
        <v>25.379150000000003</v>
      </c>
    </row>
    <row r="619" spans="1:8" x14ac:dyDescent="0.25">
      <c r="A619" s="105" t="s">
        <v>13</v>
      </c>
      <c r="B619" s="94" t="s">
        <v>107</v>
      </c>
      <c r="C619" s="95">
        <v>2022</v>
      </c>
      <c r="D619" s="96">
        <v>0.4</v>
      </c>
      <c r="E619" s="96"/>
      <c r="F619" s="97">
        <v>15</v>
      </c>
      <c r="G619" s="106">
        <f>(100689)/4</f>
        <v>25172.25</v>
      </c>
      <c r="H619" s="147">
        <f t="shared" si="6"/>
        <v>25.172249999999998</v>
      </c>
    </row>
    <row r="620" spans="1:8" x14ac:dyDescent="0.25">
      <c r="A620" s="105" t="s">
        <v>13</v>
      </c>
      <c r="B620" s="94" t="s">
        <v>106</v>
      </c>
      <c r="C620" s="95">
        <v>2022</v>
      </c>
      <c r="D620" s="96">
        <v>0.4</v>
      </c>
      <c r="E620" s="96"/>
      <c r="F620" s="97">
        <v>15</v>
      </c>
      <c r="G620" s="106">
        <f>(100689)/4</f>
        <v>25172.25</v>
      </c>
      <c r="H620" s="147">
        <f t="shared" si="6"/>
        <v>25.172249999999998</v>
      </c>
    </row>
    <row r="621" spans="1:8" x14ac:dyDescent="0.25">
      <c r="A621" s="105" t="s">
        <v>13</v>
      </c>
      <c r="B621" s="94" t="s">
        <v>105</v>
      </c>
      <c r="C621" s="95">
        <v>2022</v>
      </c>
      <c r="D621" s="96">
        <v>0.4</v>
      </c>
      <c r="E621" s="96"/>
      <c r="F621" s="97">
        <v>15</v>
      </c>
      <c r="G621" s="106">
        <f>(100689)/4</f>
        <v>25172.25</v>
      </c>
      <c r="H621" s="147">
        <f t="shared" si="6"/>
        <v>25.172249999999998</v>
      </c>
    </row>
    <row r="622" spans="1:8" x14ac:dyDescent="0.25">
      <c r="A622" s="105" t="s">
        <v>13</v>
      </c>
      <c r="B622" s="94" t="s">
        <v>104</v>
      </c>
      <c r="C622" s="95">
        <v>2022</v>
      </c>
      <c r="D622" s="96">
        <v>0.4</v>
      </c>
      <c r="E622" s="96"/>
      <c r="F622" s="97">
        <v>15</v>
      </c>
      <c r="G622" s="106">
        <f>(100689)/4</f>
        <v>25172.25</v>
      </c>
      <c r="H622" s="147">
        <f t="shared" si="6"/>
        <v>25.172249999999998</v>
      </c>
    </row>
    <row r="623" spans="1:8" x14ac:dyDescent="0.25">
      <c r="A623" s="105" t="s">
        <v>13</v>
      </c>
      <c r="B623" s="94" t="s">
        <v>103</v>
      </c>
      <c r="C623" s="95">
        <v>2022</v>
      </c>
      <c r="D623" s="96">
        <v>0.4</v>
      </c>
      <c r="E623" s="96"/>
      <c r="F623" s="97">
        <v>15</v>
      </c>
      <c r="G623" s="106">
        <f>24277.86</f>
        <v>24277.86</v>
      </c>
      <c r="H623" s="147">
        <f t="shared" si="6"/>
        <v>24.27786</v>
      </c>
    </row>
    <row r="624" spans="1:8" x14ac:dyDescent="0.25">
      <c r="A624" s="105" t="s">
        <v>13</v>
      </c>
      <c r="B624" s="94" t="s">
        <v>102</v>
      </c>
      <c r="C624" s="95">
        <v>2022</v>
      </c>
      <c r="D624" s="96">
        <v>0.4</v>
      </c>
      <c r="E624" s="96"/>
      <c r="F624" s="97">
        <v>15</v>
      </c>
      <c r="G624" s="106">
        <f>25299.51</f>
        <v>25299.51</v>
      </c>
      <c r="H624" s="147">
        <f t="shared" si="6"/>
        <v>25.299509999999998</v>
      </c>
    </row>
    <row r="625" spans="1:8" x14ac:dyDescent="0.25">
      <c r="A625" s="105" t="s">
        <v>13</v>
      </c>
      <c r="B625" s="94" t="s">
        <v>686</v>
      </c>
      <c r="C625" s="95">
        <v>2022</v>
      </c>
      <c r="D625" s="96">
        <v>0.4</v>
      </c>
      <c r="E625" s="96"/>
      <c r="F625" s="97">
        <v>8</v>
      </c>
      <c r="G625" s="106">
        <f>26300.83</f>
        <v>26300.83</v>
      </c>
      <c r="H625" s="147">
        <f t="shared" si="6"/>
        <v>26.300830000000001</v>
      </c>
    </row>
    <row r="626" spans="1:8" x14ac:dyDescent="0.25">
      <c r="A626" s="105" t="s">
        <v>13</v>
      </c>
      <c r="B626" s="94" t="s">
        <v>101</v>
      </c>
      <c r="C626" s="95">
        <v>2022</v>
      </c>
      <c r="D626" s="96">
        <v>0.4</v>
      </c>
      <c r="E626" s="96"/>
      <c r="F626" s="97">
        <v>15</v>
      </c>
      <c r="G626" s="106">
        <f>51980.5</f>
        <v>51980.5</v>
      </c>
      <c r="H626" s="147">
        <f t="shared" si="6"/>
        <v>51.980499999999999</v>
      </c>
    </row>
    <row r="627" spans="1:8" x14ac:dyDescent="0.25">
      <c r="A627" s="105" t="s">
        <v>13</v>
      </c>
      <c r="B627" s="94" t="s">
        <v>100</v>
      </c>
      <c r="C627" s="95">
        <v>2022</v>
      </c>
      <c r="D627" s="96">
        <v>0.4</v>
      </c>
      <c r="E627" s="96"/>
      <c r="F627" s="97">
        <v>15</v>
      </c>
      <c r="G627" s="106">
        <f>46388.8</f>
        <v>46388.800000000003</v>
      </c>
      <c r="H627" s="147">
        <f t="shared" si="6"/>
        <v>46.388800000000003</v>
      </c>
    </row>
    <row r="628" spans="1:8" x14ac:dyDescent="0.25">
      <c r="A628" s="105" t="s">
        <v>13</v>
      </c>
      <c r="B628" s="94" t="s">
        <v>99</v>
      </c>
      <c r="C628" s="95">
        <v>2022</v>
      </c>
      <c r="D628" s="96">
        <v>0.4</v>
      </c>
      <c r="E628" s="96"/>
      <c r="F628" s="97">
        <v>15</v>
      </c>
      <c r="G628" s="106">
        <f>(678.11+22983.33)</f>
        <v>23661.440000000002</v>
      </c>
      <c r="H628" s="147">
        <f t="shared" si="6"/>
        <v>23.661440000000002</v>
      </c>
    </row>
    <row r="629" spans="1:8" x14ac:dyDescent="0.25">
      <c r="A629" s="105" t="s">
        <v>13</v>
      </c>
      <c r="B629" s="94" t="s">
        <v>98</v>
      </c>
      <c r="C629" s="95">
        <v>2022</v>
      </c>
      <c r="D629" s="96">
        <v>0.4</v>
      </c>
      <c r="E629" s="96"/>
      <c r="F629" s="97">
        <v>15</v>
      </c>
      <c r="G629" s="106">
        <f>25337.65</f>
        <v>25337.65</v>
      </c>
      <c r="H629" s="147">
        <f t="shared" si="6"/>
        <v>25.33765</v>
      </c>
    </row>
    <row r="630" spans="1:8" x14ac:dyDescent="0.25">
      <c r="A630" s="105" t="s">
        <v>13</v>
      </c>
      <c r="B630" s="94" t="s">
        <v>97</v>
      </c>
      <c r="C630" s="95">
        <v>2022</v>
      </c>
      <c r="D630" s="96">
        <v>0.4</v>
      </c>
      <c r="E630" s="96"/>
      <c r="F630" s="97">
        <v>15</v>
      </c>
      <c r="G630" s="106">
        <f>25337.65</f>
        <v>25337.65</v>
      </c>
      <c r="H630" s="147">
        <f t="shared" si="6"/>
        <v>25.33765</v>
      </c>
    </row>
    <row r="631" spans="1:8" x14ac:dyDescent="0.25">
      <c r="A631" s="105" t="s">
        <v>13</v>
      </c>
      <c r="B631" s="94" t="s">
        <v>96</v>
      </c>
      <c r="C631" s="95">
        <v>2022</v>
      </c>
      <c r="D631" s="96">
        <v>0.4</v>
      </c>
      <c r="E631" s="96"/>
      <c r="F631" s="97">
        <v>15</v>
      </c>
      <c r="G631" s="106">
        <f>26612.78</f>
        <v>26612.78</v>
      </c>
      <c r="H631" s="147">
        <f t="shared" si="6"/>
        <v>26.612779999999997</v>
      </c>
    </row>
    <row r="632" spans="1:8" x14ac:dyDescent="0.25">
      <c r="A632" s="105" t="s">
        <v>5</v>
      </c>
      <c r="B632" s="94" t="s">
        <v>95</v>
      </c>
      <c r="C632" s="95">
        <v>2022</v>
      </c>
      <c r="D632" s="96">
        <v>0.4</v>
      </c>
      <c r="E632" s="96"/>
      <c r="F632" s="97">
        <v>5</v>
      </c>
      <c r="G632" s="98">
        <f>26612.78</f>
        <v>26612.78</v>
      </c>
      <c r="H632" s="147">
        <f t="shared" si="6"/>
        <v>26.612779999999997</v>
      </c>
    </row>
    <row r="633" spans="1:8" x14ac:dyDescent="0.25">
      <c r="A633" s="105" t="s">
        <v>13</v>
      </c>
      <c r="B633" s="94" t="s">
        <v>94</v>
      </c>
      <c r="C633" s="95">
        <v>2022</v>
      </c>
      <c r="D633" s="96">
        <v>0.4</v>
      </c>
      <c r="E633" s="96"/>
      <c r="F633" s="97">
        <v>15</v>
      </c>
      <c r="G633" s="106">
        <f>14787.78</f>
        <v>14787.78</v>
      </c>
      <c r="H633" s="147">
        <f t="shared" si="6"/>
        <v>14.787780000000001</v>
      </c>
    </row>
    <row r="634" spans="1:8" x14ac:dyDescent="0.25">
      <c r="A634" s="105" t="s">
        <v>5</v>
      </c>
      <c r="B634" s="94" t="s">
        <v>93</v>
      </c>
      <c r="C634" s="95">
        <v>2022</v>
      </c>
      <c r="D634" s="96">
        <v>0.4</v>
      </c>
      <c r="E634" s="96"/>
      <c r="F634" s="97">
        <v>5</v>
      </c>
      <c r="G634" s="98">
        <v>14673.44</v>
      </c>
      <c r="H634" s="147">
        <f t="shared" si="6"/>
        <v>14.673440000000001</v>
      </c>
    </row>
    <row r="635" spans="1:8" x14ac:dyDescent="0.25">
      <c r="A635" s="105" t="s">
        <v>13</v>
      </c>
      <c r="B635" s="94" t="s">
        <v>92</v>
      </c>
      <c r="C635" s="95">
        <v>2022</v>
      </c>
      <c r="D635" s="96">
        <v>0.4</v>
      </c>
      <c r="E635" s="96"/>
      <c r="F635" s="97">
        <v>15</v>
      </c>
      <c r="G635" s="106">
        <v>27066.49</v>
      </c>
      <c r="H635" s="147">
        <f t="shared" si="6"/>
        <v>27.066490000000002</v>
      </c>
    </row>
    <row r="636" spans="1:8" x14ac:dyDescent="0.25">
      <c r="A636" s="105" t="s">
        <v>13</v>
      </c>
      <c r="B636" s="94" t="s">
        <v>91</v>
      </c>
      <c r="C636" s="95">
        <v>2022</v>
      </c>
      <c r="D636" s="96">
        <v>0.4</v>
      </c>
      <c r="E636" s="96"/>
      <c r="F636" s="97">
        <v>15</v>
      </c>
      <c r="G636" s="106">
        <v>25435.34</v>
      </c>
      <c r="H636" s="147">
        <f t="shared" si="6"/>
        <v>25.43534</v>
      </c>
    </row>
    <row r="637" spans="1:8" x14ac:dyDescent="0.25">
      <c r="A637" s="105" t="s">
        <v>13</v>
      </c>
      <c r="B637" s="94" t="s">
        <v>90</v>
      </c>
      <c r="C637" s="95">
        <v>2022</v>
      </c>
      <c r="D637" s="96">
        <v>0.4</v>
      </c>
      <c r="E637" s="96"/>
      <c r="F637" s="97">
        <v>10</v>
      </c>
      <c r="G637" s="108">
        <v>28255.5</v>
      </c>
      <c r="H637" s="147">
        <f t="shared" si="6"/>
        <v>28.255500000000001</v>
      </c>
    </row>
    <row r="638" spans="1:8" x14ac:dyDescent="0.25">
      <c r="A638" s="105" t="s">
        <v>5</v>
      </c>
      <c r="B638" s="94" t="s">
        <v>89</v>
      </c>
      <c r="C638" s="95">
        <v>2022</v>
      </c>
      <c r="D638" s="96">
        <v>0.4</v>
      </c>
      <c r="E638" s="96"/>
      <c r="F638" s="97">
        <v>5</v>
      </c>
      <c r="G638" s="98">
        <v>13152.38</v>
      </c>
      <c r="H638" s="147">
        <f t="shared" si="6"/>
        <v>13.152379999999999</v>
      </c>
    </row>
    <row r="639" spans="1:8" x14ac:dyDescent="0.25">
      <c r="A639" s="105" t="s">
        <v>5</v>
      </c>
      <c r="B639" s="94" t="s">
        <v>689</v>
      </c>
      <c r="C639" s="95">
        <v>2022</v>
      </c>
      <c r="D639" s="96">
        <v>0.4</v>
      </c>
      <c r="E639" s="96"/>
      <c r="F639" s="97">
        <v>5</v>
      </c>
      <c r="G639" s="98">
        <v>14480.39</v>
      </c>
      <c r="H639" s="147">
        <f t="shared" si="6"/>
        <v>14.48039</v>
      </c>
    </row>
    <row r="640" spans="1:8" x14ac:dyDescent="0.25">
      <c r="A640" s="105" t="s">
        <v>5</v>
      </c>
      <c r="B640" s="94" t="s">
        <v>689</v>
      </c>
      <c r="C640" s="95">
        <v>2022</v>
      </c>
      <c r="D640" s="96">
        <v>0.4</v>
      </c>
      <c r="E640" s="96"/>
      <c r="F640" s="97">
        <v>5</v>
      </c>
      <c r="G640" s="98">
        <v>14480.4</v>
      </c>
      <c r="H640" s="147">
        <f t="shared" si="6"/>
        <v>14.480399999999999</v>
      </c>
    </row>
    <row r="641" spans="1:8" x14ac:dyDescent="0.25">
      <c r="A641" s="105" t="s">
        <v>5</v>
      </c>
      <c r="B641" s="94" t="s">
        <v>689</v>
      </c>
      <c r="C641" s="95">
        <v>2022</v>
      </c>
      <c r="D641" s="96">
        <v>0.4</v>
      </c>
      <c r="E641" s="96"/>
      <c r="F641" s="97">
        <v>5</v>
      </c>
      <c r="G641" s="98">
        <v>14480.39</v>
      </c>
      <c r="H641" s="147">
        <f t="shared" si="6"/>
        <v>14.48039</v>
      </c>
    </row>
    <row r="642" spans="1:8" x14ac:dyDescent="0.25">
      <c r="A642" s="105" t="s">
        <v>5</v>
      </c>
      <c r="B642" s="94" t="s">
        <v>689</v>
      </c>
      <c r="C642" s="95">
        <v>2022</v>
      </c>
      <c r="D642" s="96">
        <v>0.4</v>
      </c>
      <c r="E642" s="96"/>
      <c r="F642" s="97">
        <v>5</v>
      </c>
      <c r="G642" s="98">
        <v>13949.55</v>
      </c>
      <c r="H642" s="147">
        <f t="shared" si="6"/>
        <v>13.949549999999999</v>
      </c>
    </row>
    <row r="643" spans="1:8" x14ac:dyDescent="0.25">
      <c r="A643" s="105" t="s">
        <v>5</v>
      </c>
      <c r="B643" s="94" t="s">
        <v>689</v>
      </c>
      <c r="C643" s="95">
        <v>2022</v>
      </c>
      <c r="D643" s="96">
        <v>0.4</v>
      </c>
      <c r="E643" s="96"/>
      <c r="F643" s="97">
        <v>5</v>
      </c>
      <c r="G643" s="98">
        <v>13979.55</v>
      </c>
      <c r="H643" s="147">
        <f t="shared" si="6"/>
        <v>13.97955</v>
      </c>
    </row>
    <row r="644" spans="1:8" x14ac:dyDescent="0.25">
      <c r="A644" s="105" t="s">
        <v>5</v>
      </c>
      <c r="B644" s="94" t="s">
        <v>689</v>
      </c>
      <c r="C644" s="95">
        <v>2022</v>
      </c>
      <c r="D644" s="96">
        <v>0.4</v>
      </c>
      <c r="E644" s="96"/>
      <c r="F644" s="97">
        <v>5</v>
      </c>
      <c r="G644" s="98">
        <v>14061.22</v>
      </c>
      <c r="H644" s="147">
        <f t="shared" si="6"/>
        <v>14.061219999999999</v>
      </c>
    </row>
    <row r="645" spans="1:8" x14ac:dyDescent="0.25">
      <c r="A645" s="105" t="s">
        <v>5</v>
      </c>
      <c r="B645" s="94" t="s">
        <v>689</v>
      </c>
      <c r="C645" s="95">
        <v>2022</v>
      </c>
      <c r="D645" s="96">
        <v>0.4</v>
      </c>
      <c r="E645" s="96"/>
      <c r="F645" s="97">
        <v>5</v>
      </c>
      <c r="G645" s="98">
        <v>14296.22</v>
      </c>
      <c r="H645" s="147">
        <f t="shared" si="6"/>
        <v>14.29622</v>
      </c>
    </row>
    <row r="646" spans="1:8" x14ac:dyDescent="0.25">
      <c r="A646" s="105" t="s">
        <v>5</v>
      </c>
      <c r="B646" s="94" t="s">
        <v>689</v>
      </c>
      <c r="C646" s="95">
        <v>2022</v>
      </c>
      <c r="D646" s="96">
        <v>0.4</v>
      </c>
      <c r="E646" s="96"/>
      <c r="F646" s="97">
        <v>5</v>
      </c>
      <c r="G646" s="98">
        <v>14390.4</v>
      </c>
      <c r="H646" s="147">
        <f t="shared" si="6"/>
        <v>14.3904</v>
      </c>
    </row>
    <row r="647" spans="1:8" x14ac:dyDescent="0.25">
      <c r="A647" s="105" t="s">
        <v>5</v>
      </c>
      <c r="B647" s="94" t="s">
        <v>689</v>
      </c>
      <c r="C647" s="95">
        <v>2022</v>
      </c>
      <c r="D647" s="96">
        <v>0.4</v>
      </c>
      <c r="E647" s="96"/>
      <c r="F647" s="97">
        <v>5</v>
      </c>
      <c r="G647" s="98">
        <v>14337.9</v>
      </c>
      <c r="H647" s="147">
        <f t="shared" si="6"/>
        <v>14.337899999999999</v>
      </c>
    </row>
    <row r="648" spans="1:8" x14ac:dyDescent="0.25">
      <c r="A648" s="105" t="s">
        <v>5</v>
      </c>
      <c r="B648" s="94" t="s">
        <v>88</v>
      </c>
      <c r="C648" s="95">
        <v>2022</v>
      </c>
      <c r="D648" s="96">
        <v>0.4</v>
      </c>
      <c r="E648" s="96"/>
      <c r="F648" s="97">
        <v>5</v>
      </c>
      <c r="G648" s="98">
        <v>12838.17</v>
      </c>
      <c r="H648" s="147">
        <f t="shared" ref="H648:H711" si="8">G648/1000</f>
        <v>12.83817</v>
      </c>
    </row>
    <row r="649" spans="1:8" x14ac:dyDescent="0.25">
      <c r="A649" s="105" t="s">
        <v>13</v>
      </c>
      <c r="B649" s="94" t="s">
        <v>87</v>
      </c>
      <c r="C649" s="95">
        <v>2022</v>
      </c>
      <c r="D649" s="96">
        <v>0.4</v>
      </c>
      <c r="E649" s="96"/>
      <c r="F649" s="97">
        <v>15</v>
      </c>
      <c r="G649" s="106">
        <v>46779.66</v>
      </c>
      <c r="H649" s="147">
        <f t="shared" si="8"/>
        <v>46.779660000000007</v>
      </c>
    </row>
    <row r="650" spans="1:8" x14ac:dyDescent="0.25">
      <c r="A650" s="105" t="s">
        <v>5</v>
      </c>
      <c r="B650" s="94" t="s">
        <v>63</v>
      </c>
      <c r="C650" s="95">
        <v>2022</v>
      </c>
      <c r="D650" s="96">
        <v>0.4</v>
      </c>
      <c r="E650" s="96"/>
      <c r="F650" s="97">
        <v>5</v>
      </c>
      <c r="G650" s="98">
        <v>13059.03</v>
      </c>
      <c r="H650" s="147">
        <f t="shared" si="8"/>
        <v>13.05903</v>
      </c>
    </row>
    <row r="651" spans="1:8" x14ac:dyDescent="0.25">
      <c r="A651" s="105" t="s">
        <v>13</v>
      </c>
      <c r="B651" s="94" t="s">
        <v>86</v>
      </c>
      <c r="C651" s="95">
        <v>2022</v>
      </c>
      <c r="D651" s="96">
        <v>0.4</v>
      </c>
      <c r="E651" s="96"/>
      <c r="F651" s="97">
        <v>15</v>
      </c>
      <c r="G651" s="106">
        <v>25599.65</v>
      </c>
      <c r="H651" s="147">
        <f t="shared" si="8"/>
        <v>25.59965</v>
      </c>
    </row>
    <row r="652" spans="1:8" x14ac:dyDescent="0.25">
      <c r="A652" s="105" t="s">
        <v>13</v>
      </c>
      <c r="B652" s="94" t="s">
        <v>85</v>
      </c>
      <c r="C652" s="95">
        <v>2022</v>
      </c>
      <c r="D652" s="96">
        <v>0.4</v>
      </c>
      <c r="E652" s="96"/>
      <c r="F652" s="97">
        <v>15</v>
      </c>
      <c r="G652" s="106">
        <v>25728.66</v>
      </c>
      <c r="H652" s="147">
        <f t="shared" si="8"/>
        <v>25.728660000000001</v>
      </c>
    </row>
    <row r="653" spans="1:8" x14ac:dyDescent="0.25">
      <c r="A653" s="105" t="s">
        <v>13</v>
      </c>
      <c r="B653" s="94" t="s">
        <v>84</v>
      </c>
      <c r="C653" s="95">
        <v>2022</v>
      </c>
      <c r="D653" s="96">
        <v>0.4</v>
      </c>
      <c r="E653" s="96"/>
      <c r="F653" s="97">
        <v>15</v>
      </c>
      <c r="G653" s="106">
        <v>25367.65</v>
      </c>
      <c r="H653" s="147">
        <f t="shared" si="8"/>
        <v>25.367650000000001</v>
      </c>
    </row>
    <row r="654" spans="1:8" x14ac:dyDescent="0.25">
      <c r="A654" s="105" t="s">
        <v>13</v>
      </c>
      <c r="B654" s="94" t="s">
        <v>83</v>
      </c>
      <c r="C654" s="95">
        <v>2022</v>
      </c>
      <c r="D654" s="96">
        <v>0.4</v>
      </c>
      <c r="E654" s="96"/>
      <c r="F654" s="97">
        <v>15</v>
      </c>
      <c r="G654" s="106">
        <v>49015.5</v>
      </c>
      <c r="H654" s="147">
        <f t="shared" si="8"/>
        <v>49.015500000000003</v>
      </c>
    </row>
    <row r="655" spans="1:8" x14ac:dyDescent="0.25">
      <c r="A655" s="105" t="s">
        <v>13</v>
      </c>
      <c r="B655" s="94" t="s">
        <v>82</v>
      </c>
      <c r="C655" s="95">
        <v>2022</v>
      </c>
      <c r="D655" s="96">
        <v>0.4</v>
      </c>
      <c r="E655" s="96"/>
      <c r="F655" s="97">
        <v>15</v>
      </c>
      <c r="G655" s="106">
        <v>25599.67</v>
      </c>
      <c r="H655" s="147">
        <f t="shared" si="8"/>
        <v>25.59967</v>
      </c>
    </row>
    <row r="656" spans="1:8" x14ac:dyDescent="0.25">
      <c r="A656" s="105" t="s">
        <v>13</v>
      </c>
      <c r="B656" s="94" t="s">
        <v>81</v>
      </c>
      <c r="C656" s="95">
        <v>2022</v>
      </c>
      <c r="D656" s="96">
        <v>0.4</v>
      </c>
      <c r="E656" s="96"/>
      <c r="F656" s="97">
        <v>15</v>
      </c>
      <c r="G656" s="106">
        <v>25364.31</v>
      </c>
      <c r="H656" s="147">
        <f t="shared" si="8"/>
        <v>25.36431</v>
      </c>
    </row>
    <row r="657" spans="1:8" x14ac:dyDescent="0.25">
      <c r="A657" s="105" t="s">
        <v>5</v>
      </c>
      <c r="B657" s="94" t="s">
        <v>80</v>
      </c>
      <c r="C657" s="95">
        <v>2022</v>
      </c>
      <c r="D657" s="96">
        <v>0.4</v>
      </c>
      <c r="E657" s="96"/>
      <c r="F657" s="97">
        <v>5</v>
      </c>
      <c r="G657" s="98">
        <v>13093.21</v>
      </c>
      <c r="H657" s="147">
        <f t="shared" si="8"/>
        <v>13.093209999999999</v>
      </c>
    </row>
    <row r="658" spans="1:8" x14ac:dyDescent="0.25">
      <c r="A658" s="105" t="s">
        <v>5</v>
      </c>
      <c r="B658" s="110" t="s">
        <v>89</v>
      </c>
      <c r="C658" s="95">
        <v>2022</v>
      </c>
      <c r="D658" s="96">
        <v>0.4</v>
      </c>
      <c r="E658" s="96"/>
      <c r="F658" s="111">
        <v>5</v>
      </c>
      <c r="G658" s="101">
        <v>13313.6</v>
      </c>
      <c r="H658" s="147">
        <f t="shared" si="8"/>
        <v>13.313600000000001</v>
      </c>
    </row>
    <row r="659" spans="1:8" x14ac:dyDescent="0.25">
      <c r="A659" s="105" t="s">
        <v>13</v>
      </c>
      <c r="B659" s="94" t="s">
        <v>79</v>
      </c>
      <c r="C659" s="95">
        <v>2022</v>
      </c>
      <c r="D659" s="96">
        <v>0.4</v>
      </c>
      <c r="E659" s="96"/>
      <c r="F659" s="97">
        <v>15</v>
      </c>
      <c r="G659" s="106">
        <v>25337.66</v>
      </c>
      <c r="H659" s="147">
        <f t="shared" si="8"/>
        <v>25.33766</v>
      </c>
    </row>
    <row r="660" spans="1:8" x14ac:dyDescent="0.25">
      <c r="A660" s="105" t="s">
        <v>5</v>
      </c>
      <c r="B660" s="94" t="s">
        <v>78</v>
      </c>
      <c r="C660" s="95">
        <v>2022</v>
      </c>
      <c r="D660" s="96">
        <v>0.4</v>
      </c>
      <c r="E660" s="96"/>
      <c r="F660" s="97">
        <v>5</v>
      </c>
      <c r="G660" s="98">
        <v>15743</v>
      </c>
      <c r="H660" s="147">
        <f t="shared" si="8"/>
        <v>15.743</v>
      </c>
    </row>
    <row r="661" spans="1:8" x14ac:dyDescent="0.25">
      <c r="A661" s="105" t="s">
        <v>13</v>
      </c>
      <c r="B661" s="94" t="s">
        <v>77</v>
      </c>
      <c r="C661" s="95">
        <v>2022</v>
      </c>
      <c r="D661" s="96">
        <v>0.4</v>
      </c>
      <c r="E661" s="96"/>
      <c r="F661" s="97">
        <v>15</v>
      </c>
      <c r="G661" s="106">
        <v>46479.67</v>
      </c>
      <c r="H661" s="147">
        <f t="shared" si="8"/>
        <v>46.479669999999999</v>
      </c>
    </row>
    <row r="662" spans="1:8" x14ac:dyDescent="0.25">
      <c r="A662" s="105" t="s">
        <v>13</v>
      </c>
      <c r="B662" s="94" t="s">
        <v>76</v>
      </c>
      <c r="C662" s="95">
        <v>2022</v>
      </c>
      <c r="D662" s="96">
        <v>0.4</v>
      </c>
      <c r="E662" s="96"/>
      <c r="F662" s="97">
        <v>15</v>
      </c>
      <c r="G662" s="106">
        <v>25166.67</v>
      </c>
      <c r="H662" s="147">
        <f t="shared" si="8"/>
        <v>25.16667</v>
      </c>
    </row>
    <row r="663" spans="1:8" x14ac:dyDescent="0.25">
      <c r="A663" s="105" t="s">
        <v>13</v>
      </c>
      <c r="B663" s="94" t="s">
        <v>75</v>
      </c>
      <c r="C663" s="95">
        <v>2022</v>
      </c>
      <c r="D663" s="96">
        <v>0.4</v>
      </c>
      <c r="E663" s="96"/>
      <c r="F663" s="97">
        <v>15</v>
      </c>
      <c r="G663" s="106">
        <v>25364.31</v>
      </c>
      <c r="H663" s="147">
        <f t="shared" si="8"/>
        <v>25.36431</v>
      </c>
    </row>
    <row r="664" spans="1:8" x14ac:dyDescent="0.25">
      <c r="A664" s="105" t="s">
        <v>5</v>
      </c>
      <c r="B664" s="94" t="s">
        <v>74</v>
      </c>
      <c r="C664" s="95">
        <v>2022</v>
      </c>
      <c r="D664" s="96">
        <v>0.4</v>
      </c>
      <c r="E664" s="96"/>
      <c r="F664" s="97">
        <v>6</v>
      </c>
      <c r="G664" s="98">
        <v>27326.49</v>
      </c>
      <c r="H664" s="147">
        <f t="shared" si="8"/>
        <v>27.326490000000003</v>
      </c>
    </row>
    <row r="665" spans="1:8" x14ac:dyDescent="0.25">
      <c r="A665" s="105" t="s">
        <v>5</v>
      </c>
      <c r="B665" s="94" t="s">
        <v>73</v>
      </c>
      <c r="C665" s="95">
        <v>2022</v>
      </c>
      <c r="D665" s="96">
        <v>0.4</v>
      </c>
      <c r="E665" s="96"/>
      <c r="F665" s="97">
        <v>5</v>
      </c>
      <c r="G665" s="98">
        <v>12868.59</v>
      </c>
      <c r="H665" s="147">
        <f t="shared" si="8"/>
        <v>12.868589999999999</v>
      </c>
    </row>
    <row r="666" spans="1:8" x14ac:dyDescent="0.25">
      <c r="A666" s="105" t="s">
        <v>13</v>
      </c>
      <c r="B666" s="94" t="s">
        <v>72</v>
      </c>
      <c r="C666" s="95">
        <v>2022</v>
      </c>
      <c r="D666" s="96">
        <v>0.4</v>
      </c>
      <c r="E666" s="96"/>
      <c r="F666" s="97">
        <v>15</v>
      </c>
      <c r="G666" s="106">
        <v>25452.98</v>
      </c>
      <c r="H666" s="147">
        <f t="shared" si="8"/>
        <v>25.45298</v>
      </c>
    </row>
    <row r="667" spans="1:8" x14ac:dyDescent="0.25">
      <c r="A667" s="105" t="s">
        <v>5</v>
      </c>
      <c r="B667" s="94" t="s">
        <v>71</v>
      </c>
      <c r="C667" s="95">
        <v>2022</v>
      </c>
      <c r="D667" s="96">
        <v>0.4</v>
      </c>
      <c r="E667" s="96"/>
      <c r="F667" s="97">
        <v>5</v>
      </c>
      <c r="G667" s="98">
        <v>13210.67</v>
      </c>
      <c r="H667" s="147">
        <f t="shared" si="8"/>
        <v>13.21067</v>
      </c>
    </row>
    <row r="668" spans="1:8" x14ac:dyDescent="0.25">
      <c r="A668" s="105" t="s">
        <v>5</v>
      </c>
      <c r="B668" s="94" t="s">
        <v>70</v>
      </c>
      <c r="C668" s="95">
        <v>2022</v>
      </c>
      <c r="D668" s="96">
        <v>0.4</v>
      </c>
      <c r="E668" s="96"/>
      <c r="F668" s="97">
        <v>5</v>
      </c>
      <c r="G668" s="98">
        <v>13104.92</v>
      </c>
      <c r="H668" s="147">
        <f t="shared" si="8"/>
        <v>13.10492</v>
      </c>
    </row>
    <row r="669" spans="1:8" x14ac:dyDescent="0.25">
      <c r="A669" s="105" t="s">
        <v>5</v>
      </c>
      <c r="B669" s="94" t="s">
        <v>69</v>
      </c>
      <c r="C669" s="95">
        <v>2022</v>
      </c>
      <c r="D669" s="96">
        <v>0.4</v>
      </c>
      <c r="E669" s="96"/>
      <c r="F669" s="97">
        <v>5</v>
      </c>
      <c r="G669" s="98">
        <v>30546.53</v>
      </c>
      <c r="H669" s="147">
        <f t="shared" si="8"/>
        <v>30.546529999999997</v>
      </c>
    </row>
    <row r="670" spans="1:8" x14ac:dyDescent="0.25">
      <c r="A670" s="105" t="s">
        <v>5</v>
      </c>
      <c r="B670" s="94" t="s">
        <v>68</v>
      </c>
      <c r="C670" s="95">
        <v>2022</v>
      </c>
      <c r="D670" s="96">
        <v>0.4</v>
      </c>
      <c r="E670" s="96"/>
      <c r="F670" s="97">
        <v>5</v>
      </c>
      <c r="G670" s="98">
        <v>15516.18</v>
      </c>
      <c r="H670" s="147">
        <f t="shared" si="8"/>
        <v>15.51618</v>
      </c>
    </row>
    <row r="671" spans="1:8" x14ac:dyDescent="0.25">
      <c r="A671" s="105" t="s">
        <v>13</v>
      </c>
      <c r="B671" s="94" t="s">
        <v>67</v>
      </c>
      <c r="C671" s="95">
        <v>2022</v>
      </c>
      <c r="D671" s="96">
        <v>0.4</v>
      </c>
      <c r="E671" s="96"/>
      <c r="F671" s="97">
        <v>15</v>
      </c>
      <c r="G671" s="106">
        <v>25449.51</v>
      </c>
      <c r="H671" s="147">
        <f t="shared" si="8"/>
        <v>25.44951</v>
      </c>
    </row>
    <row r="672" spans="1:8" x14ac:dyDescent="0.25">
      <c r="A672" s="105" t="s">
        <v>13</v>
      </c>
      <c r="B672" s="94" t="s">
        <v>690</v>
      </c>
      <c r="C672" s="95">
        <v>2022</v>
      </c>
      <c r="D672" s="96">
        <v>0.4</v>
      </c>
      <c r="E672" s="96"/>
      <c r="F672" s="97">
        <v>10</v>
      </c>
      <c r="G672" s="106">
        <v>25166.67</v>
      </c>
      <c r="H672" s="147">
        <f t="shared" si="8"/>
        <v>25.16667</v>
      </c>
    </row>
    <row r="673" spans="1:8" x14ac:dyDescent="0.25">
      <c r="A673" s="105" t="s">
        <v>13</v>
      </c>
      <c r="B673" s="94" t="s">
        <v>691</v>
      </c>
      <c r="C673" s="95">
        <v>2022</v>
      </c>
      <c r="D673" s="96">
        <v>0.4</v>
      </c>
      <c r="E673" s="96"/>
      <c r="F673" s="97">
        <v>15</v>
      </c>
      <c r="G673" s="106">
        <v>25422.85</v>
      </c>
      <c r="H673" s="147">
        <f t="shared" si="8"/>
        <v>25.422849999999997</v>
      </c>
    </row>
    <row r="674" spans="1:8" x14ac:dyDescent="0.25">
      <c r="A674" s="105" t="s">
        <v>13</v>
      </c>
      <c r="B674" s="94" t="s">
        <v>66</v>
      </c>
      <c r="C674" s="95">
        <v>2022</v>
      </c>
      <c r="D674" s="96">
        <v>0.4</v>
      </c>
      <c r="E674" s="96"/>
      <c r="F674" s="97">
        <v>15</v>
      </c>
      <c r="G674" s="106">
        <v>27188.98</v>
      </c>
      <c r="H674" s="147">
        <f t="shared" si="8"/>
        <v>27.188980000000001</v>
      </c>
    </row>
    <row r="675" spans="1:8" x14ac:dyDescent="0.25">
      <c r="A675" s="105" t="s">
        <v>13</v>
      </c>
      <c r="B675" s="94" t="s">
        <v>65</v>
      </c>
      <c r="C675" s="95">
        <v>2022</v>
      </c>
      <c r="D675" s="96">
        <v>0.4</v>
      </c>
      <c r="E675" s="96"/>
      <c r="F675" s="97">
        <v>15</v>
      </c>
      <c r="G675" s="106">
        <v>27326.49</v>
      </c>
      <c r="H675" s="147">
        <f t="shared" si="8"/>
        <v>27.326490000000003</v>
      </c>
    </row>
    <row r="676" spans="1:8" x14ac:dyDescent="0.25">
      <c r="A676" s="105" t="s">
        <v>13</v>
      </c>
      <c r="B676" s="94" t="s">
        <v>692</v>
      </c>
      <c r="C676" s="95">
        <v>2022</v>
      </c>
      <c r="D676" s="96">
        <v>0.4</v>
      </c>
      <c r="E676" s="96"/>
      <c r="F676" s="97">
        <v>15</v>
      </c>
      <c r="G676" s="106">
        <v>28647.39</v>
      </c>
      <c r="H676" s="147">
        <f t="shared" si="8"/>
        <v>28.647389999999998</v>
      </c>
    </row>
    <row r="677" spans="1:8" x14ac:dyDescent="0.25">
      <c r="A677" s="105" t="s">
        <v>13</v>
      </c>
      <c r="B677" s="94" t="s">
        <v>64</v>
      </c>
      <c r="C677" s="95">
        <v>2022</v>
      </c>
      <c r="D677" s="96">
        <v>0.4</v>
      </c>
      <c r="E677" s="96"/>
      <c r="F677" s="97">
        <v>15</v>
      </c>
      <c r="G677" s="106">
        <v>25513.33</v>
      </c>
      <c r="H677" s="147">
        <f t="shared" si="8"/>
        <v>25.513330000000003</v>
      </c>
    </row>
    <row r="678" spans="1:8" x14ac:dyDescent="0.25">
      <c r="A678" s="105" t="s">
        <v>5</v>
      </c>
      <c r="B678" s="94" t="s">
        <v>63</v>
      </c>
      <c r="C678" s="95">
        <v>2022</v>
      </c>
      <c r="D678" s="96">
        <v>0.4</v>
      </c>
      <c r="E678" s="96"/>
      <c r="F678" s="97">
        <v>5</v>
      </c>
      <c r="G678" s="98">
        <v>10722.05</v>
      </c>
      <c r="H678" s="147">
        <f t="shared" si="8"/>
        <v>10.722049999999999</v>
      </c>
    </row>
    <row r="679" spans="1:8" x14ac:dyDescent="0.25">
      <c r="A679" s="105" t="s">
        <v>13</v>
      </c>
      <c r="B679" s="94" t="s">
        <v>62</v>
      </c>
      <c r="C679" s="95">
        <v>2022</v>
      </c>
      <c r="D679" s="96">
        <v>0.4</v>
      </c>
      <c r="E679" s="96"/>
      <c r="F679" s="97">
        <v>15</v>
      </c>
      <c r="G679" s="106">
        <v>25280.98</v>
      </c>
      <c r="H679" s="147">
        <f t="shared" si="8"/>
        <v>25.28098</v>
      </c>
    </row>
    <row r="680" spans="1:8" x14ac:dyDescent="0.25">
      <c r="A680" s="105" t="s">
        <v>5</v>
      </c>
      <c r="B680" s="94" t="s">
        <v>693</v>
      </c>
      <c r="C680" s="95">
        <v>2022</v>
      </c>
      <c r="D680" s="96">
        <v>0.4</v>
      </c>
      <c r="E680" s="96"/>
      <c r="F680" s="97">
        <v>5</v>
      </c>
      <c r="G680" s="98">
        <v>12806.5</v>
      </c>
      <c r="H680" s="147">
        <f t="shared" si="8"/>
        <v>12.8065</v>
      </c>
    </row>
    <row r="681" spans="1:8" x14ac:dyDescent="0.25">
      <c r="A681" s="105" t="s">
        <v>13</v>
      </c>
      <c r="B681" s="94" t="s">
        <v>61</v>
      </c>
      <c r="C681" s="95">
        <v>2022</v>
      </c>
      <c r="D681" s="96">
        <v>0.4</v>
      </c>
      <c r="E681" s="96"/>
      <c r="F681" s="97">
        <v>15</v>
      </c>
      <c r="G681" s="106">
        <v>27542.37</v>
      </c>
      <c r="H681" s="147">
        <f t="shared" si="8"/>
        <v>27.542369999999998</v>
      </c>
    </row>
    <row r="682" spans="1:8" x14ac:dyDescent="0.25">
      <c r="A682" s="105" t="s">
        <v>5</v>
      </c>
      <c r="B682" s="94" t="s">
        <v>60</v>
      </c>
      <c r="C682" s="95">
        <v>2022</v>
      </c>
      <c r="D682" s="96">
        <v>0.4</v>
      </c>
      <c r="E682" s="96"/>
      <c r="F682" s="97">
        <v>5</v>
      </c>
      <c r="G682" s="98">
        <v>27326.49</v>
      </c>
      <c r="H682" s="147">
        <f t="shared" si="8"/>
        <v>27.326490000000003</v>
      </c>
    </row>
    <row r="683" spans="1:8" x14ac:dyDescent="0.25">
      <c r="A683" s="105" t="s">
        <v>13</v>
      </c>
      <c r="B683" s="94" t="s">
        <v>60</v>
      </c>
      <c r="C683" s="95">
        <v>2022</v>
      </c>
      <c r="D683" s="96">
        <v>0.4</v>
      </c>
      <c r="E683" s="96"/>
      <c r="F683" s="97">
        <v>15</v>
      </c>
      <c r="G683" s="106">
        <v>25791.200000000001</v>
      </c>
      <c r="H683" s="147">
        <f t="shared" si="8"/>
        <v>25.7912</v>
      </c>
    </row>
    <row r="684" spans="1:8" x14ac:dyDescent="0.25">
      <c r="A684" s="105" t="s">
        <v>5</v>
      </c>
      <c r="B684" s="94" t="s">
        <v>59</v>
      </c>
      <c r="C684" s="95">
        <v>2022</v>
      </c>
      <c r="D684" s="96">
        <v>0.4</v>
      </c>
      <c r="E684" s="96"/>
      <c r="F684" s="97">
        <v>5</v>
      </c>
      <c r="G684" s="98">
        <v>13154.86</v>
      </c>
      <c r="H684" s="147">
        <f t="shared" si="8"/>
        <v>13.154860000000001</v>
      </c>
    </row>
    <row r="685" spans="1:8" x14ac:dyDescent="0.25">
      <c r="A685" s="105" t="s">
        <v>5</v>
      </c>
      <c r="B685" s="94" t="s">
        <v>394</v>
      </c>
      <c r="C685" s="95">
        <v>2022</v>
      </c>
      <c r="D685" s="96">
        <v>0.4</v>
      </c>
      <c r="E685" s="96"/>
      <c r="F685" s="97">
        <v>5</v>
      </c>
      <c r="G685" s="98">
        <v>13386.8</v>
      </c>
      <c r="H685" s="147">
        <f t="shared" si="8"/>
        <v>13.386799999999999</v>
      </c>
    </row>
    <row r="686" spans="1:8" x14ac:dyDescent="0.25">
      <c r="A686" s="105" t="s">
        <v>13</v>
      </c>
      <c r="B686" s="94" t="s">
        <v>58</v>
      </c>
      <c r="C686" s="95">
        <v>2022</v>
      </c>
      <c r="D686" s="96">
        <v>0.4</v>
      </c>
      <c r="E686" s="96"/>
      <c r="F686" s="97">
        <v>15</v>
      </c>
      <c r="G686" s="106">
        <v>25422.84</v>
      </c>
      <c r="H686" s="147">
        <f t="shared" si="8"/>
        <v>25.422840000000001</v>
      </c>
    </row>
    <row r="687" spans="1:8" x14ac:dyDescent="0.25">
      <c r="A687" s="105" t="s">
        <v>13</v>
      </c>
      <c r="B687" s="94" t="s">
        <v>57</v>
      </c>
      <c r="C687" s="95">
        <v>2022</v>
      </c>
      <c r="D687" s="96">
        <v>0.4</v>
      </c>
      <c r="E687" s="96"/>
      <c r="F687" s="97">
        <v>15</v>
      </c>
      <c r="G687" s="106">
        <v>27926.18</v>
      </c>
      <c r="H687" s="147">
        <f t="shared" si="8"/>
        <v>27.926179999999999</v>
      </c>
    </row>
    <row r="688" spans="1:8" x14ac:dyDescent="0.25">
      <c r="A688" s="105" t="s">
        <v>13</v>
      </c>
      <c r="B688" s="94" t="s">
        <v>115</v>
      </c>
      <c r="C688" s="95">
        <v>2022</v>
      </c>
      <c r="D688" s="96">
        <v>0.4</v>
      </c>
      <c r="E688" s="96"/>
      <c r="F688" s="97">
        <v>15</v>
      </c>
      <c r="G688" s="106">
        <v>25602.51</v>
      </c>
      <c r="H688" s="147">
        <f t="shared" si="8"/>
        <v>25.602509999999999</v>
      </c>
    </row>
    <row r="689" spans="1:8" x14ac:dyDescent="0.25">
      <c r="A689" s="105" t="s">
        <v>13</v>
      </c>
      <c r="B689" s="94" t="s">
        <v>56</v>
      </c>
      <c r="C689" s="95">
        <v>2022</v>
      </c>
      <c r="D689" s="96">
        <v>0.4</v>
      </c>
      <c r="E689" s="96"/>
      <c r="F689" s="97">
        <v>15</v>
      </c>
      <c r="G689" s="106">
        <v>46479.67</v>
      </c>
      <c r="H689" s="147">
        <f t="shared" si="8"/>
        <v>46.479669999999999</v>
      </c>
    </row>
    <row r="690" spans="1:8" x14ac:dyDescent="0.25">
      <c r="A690" s="105" t="s">
        <v>13</v>
      </c>
      <c r="B690" s="94" t="s">
        <v>55</v>
      </c>
      <c r="C690" s="95">
        <v>2022</v>
      </c>
      <c r="D690" s="96">
        <v>0.4</v>
      </c>
      <c r="E690" s="96"/>
      <c r="F690" s="97">
        <v>15</v>
      </c>
      <c r="G690" s="106">
        <v>25489.51</v>
      </c>
      <c r="H690" s="147">
        <f t="shared" si="8"/>
        <v>25.489509999999999</v>
      </c>
    </row>
    <row r="691" spans="1:8" x14ac:dyDescent="0.25">
      <c r="A691" s="105" t="s">
        <v>5</v>
      </c>
      <c r="B691" s="94" t="s">
        <v>54</v>
      </c>
      <c r="C691" s="95">
        <v>2022</v>
      </c>
      <c r="D691" s="96">
        <v>0.4</v>
      </c>
      <c r="E691" s="96"/>
      <c r="F691" s="97">
        <v>5</v>
      </c>
      <c r="G691" s="98">
        <v>12883.6</v>
      </c>
      <c r="H691" s="147">
        <f t="shared" si="8"/>
        <v>12.883599999999999</v>
      </c>
    </row>
    <row r="692" spans="1:8" x14ac:dyDescent="0.25">
      <c r="A692" s="105" t="s">
        <v>13</v>
      </c>
      <c r="B692" s="94" t="s">
        <v>53</v>
      </c>
      <c r="C692" s="95">
        <v>2022</v>
      </c>
      <c r="D692" s="96">
        <v>0.4</v>
      </c>
      <c r="E692" s="96"/>
      <c r="F692" s="97">
        <v>15</v>
      </c>
      <c r="G692" s="106">
        <v>25221.81</v>
      </c>
      <c r="H692" s="147">
        <f t="shared" si="8"/>
        <v>25.221810000000001</v>
      </c>
    </row>
    <row r="693" spans="1:8" x14ac:dyDescent="0.25">
      <c r="A693" s="105" t="s">
        <v>13</v>
      </c>
      <c r="B693" s="94" t="s">
        <v>694</v>
      </c>
      <c r="C693" s="95">
        <v>2022</v>
      </c>
      <c r="D693" s="96">
        <v>0.4</v>
      </c>
      <c r="E693" s="96"/>
      <c r="F693" s="97">
        <v>15</v>
      </c>
      <c r="G693" s="106">
        <v>25397.85</v>
      </c>
      <c r="H693" s="147">
        <f t="shared" si="8"/>
        <v>25.397849999999998</v>
      </c>
    </row>
    <row r="694" spans="1:8" x14ac:dyDescent="0.25">
      <c r="A694" s="105" t="s">
        <v>13</v>
      </c>
      <c r="B694" s="94" t="s">
        <v>695</v>
      </c>
      <c r="C694" s="95">
        <v>2022</v>
      </c>
      <c r="D694" s="96">
        <v>0.4</v>
      </c>
      <c r="E694" s="96"/>
      <c r="F694" s="97">
        <v>15</v>
      </c>
      <c r="G694" s="106">
        <v>25313.55</v>
      </c>
      <c r="H694" s="147">
        <f t="shared" si="8"/>
        <v>25.313549999999999</v>
      </c>
    </row>
    <row r="695" spans="1:8" x14ac:dyDescent="0.25">
      <c r="A695" s="105" t="s">
        <v>13</v>
      </c>
      <c r="B695" s="94" t="s">
        <v>52</v>
      </c>
      <c r="C695" s="95">
        <v>2022</v>
      </c>
      <c r="D695" s="96">
        <v>0.4</v>
      </c>
      <c r="E695" s="96"/>
      <c r="F695" s="97">
        <v>15</v>
      </c>
      <c r="G695" s="106">
        <v>26650.14</v>
      </c>
      <c r="H695" s="147">
        <f t="shared" si="8"/>
        <v>26.65014</v>
      </c>
    </row>
    <row r="696" spans="1:8" x14ac:dyDescent="0.25">
      <c r="A696" s="105" t="s">
        <v>13</v>
      </c>
      <c r="B696" s="94" t="s">
        <v>696</v>
      </c>
      <c r="C696" s="95">
        <v>2022</v>
      </c>
      <c r="D696" s="96">
        <v>0.4</v>
      </c>
      <c r="E696" s="96"/>
      <c r="F696" s="97">
        <v>15</v>
      </c>
      <c r="G696" s="106">
        <v>14702.78</v>
      </c>
      <c r="H696" s="147">
        <f t="shared" si="8"/>
        <v>14.702780000000001</v>
      </c>
    </row>
    <row r="697" spans="1:8" x14ac:dyDescent="0.25">
      <c r="A697" s="105" t="s">
        <v>13</v>
      </c>
      <c r="B697" s="94" t="s">
        <v>690</v>
      </c>
      <c r="C697" s="95">
        <v>2022</v>
      </c>
      <c r="D697" s="96">
        <v>0.4</v>
      </c>
      <c r="E697" s="96"/>
      <c r="F697" s="97">
        <v>10</v>
      </c>
      <c r="G697" s="106">
        <v>25029.16</v>
      </c>
      <c r="H697" s="147">
        <f t="shared" si="8"/>
        <v>25.029160000000001</v>
      </c>
    </row>
    <row r="698" spans="1:8" x14ac:dyDescent="0.25">
      <c r="A698" s="105" t="s">
        <v>13</v>
      </c>
      <c r="B698" s="94" t="s">
        <v>51</v>
      </c>
      <c r="C698" s="95">
        <v>2022</v>
      </c>
      <c r="D698" s="96">
        <v>0.4</v>
      </c>
      <c r="E698" s="96"/>
      <c r="F698" s="97">
        <v>15</v>
      </c>
      <c r="G698" s="106">
        <v>25818.35</v>
      </c>
      <c r="H698" s="147">
        <f t="shared" si="8"/>
        <v>25.818349999999999</v>
      </c>
    </row>
    <row r="699" spans="1:8" x14ac:dyDescent="0.25">
      <c r="A699" s="105" t="s">
        <v>5</v>
      </c>
      <c r="B699" s="94" t="s">
        <v>50</v>
      </c>
      <c r="C699" s="95">
        <v>2022</v>
      </c>
      <c r="D699" s="96">
        <v>0.4</v>
      </c>
      <c r="E699" s="96"/>
      <c r="F699" s="97">
        <v>5</v>
      </c>
      <c r="G699" s="98">
        <v>15826.34</v>
      </c>
      <c r="H699" s="147">
        <f t="shared" si="8"/>
        <v>15.82634</v>
      </c>
    </row>
    <row r="700" spans="1:8" x14ac:dyDescent="0.25">
      <c r="A700" s="105" t="s">
        <v>13</v>
      </c>
      <c r="B700" s="94" t="s">
        <v>49</v>
      </c>
      <c r="C700" s="95">
        <v>2022</v>
      </c>
      <c r="D700" s="96">
        <v>0.4</v>
      </c>
      <c r="E700" s="96"/>
      <c r="F700" s="97">
        <v>15</v>
      </c>
      <c r="G700" s="106">
        <v>27326.48</v>
      </c>
      <c r="H700" s="147">
        <f t="shared" si="8"/>
        <v>27.32648</v>
      </c>
    </row>
    <row r="701" spans="1:8" x14ac:dyDescent="0.25">
      <c r="A701" s="105" t="s">
        <v>13</v>
      </c>
      <c r="B701" s="94" t="s">
        <v>572</v>
      </c>
      <c r="C701" s="95">
        <v>2022</v>
      </c>
      <c r="D701" s="96">
        <v>0.4</v>
      </c>
      <c r="E701" s="96"/>
      <c r="F701" s="97">
        <v>15</v>
      </c>
      <c r="G701" s="106">
        <v>25503.85</v>
      </c>
      <c r="H701" s="147">
        <f t="shared" si="8"/>
        <v>25.50385</v>
      </c>
    </row>
    <row r="702" spans="1:8" x14ac:dyDescent="0.25">
      <c r="A702" s="105" t="s">
        <v>13</v>
      </c>
      <c r="B702" s="94" t="s">
        <v>48</v>
      </c>
      <c r="C702" s="95">
        <v>2022</v>
      </c>
      <c r="D702" s="96">
        <v>0.4</v>
      </c>
      <c r="E702" s="96"/>
      <c r="F702" s="97">
        <v>15</v>
      </c>
      <c r="G702" s="106">
        <v>25503.82</v>
      </c>
      <c r="H702" s="147">
        <f t="shared" si="8"/>
        <v>25.503820000000001</v>
      </c>
    </row>
    <row r="703" spans="1:8" x14ac:dyDescent="0.25">
      <c r="A703" s="105" t="s">
        <v>5</v>
      </c>
      <c r="B703" s="94" t="s">
        <v>47</v>
      </c>
      <c r="C703" s="95">
        <v>2022</v>
      </c>
      <c r="D703" s="96">
        <v>0.4</v>
      </c>
      <c r="E703" s="96"/>
      <c r="F703" s="97">
        <v>5</v>
      </c>
      <c r="G703" s="98">
        <v>15823.85</v>
      </c>
      <c r="H703" s="147">
        <f t="shared" si="8"/>
        <v>15.82385</v>
      </c>
    </row>
    <row r="704" spans="1:8" x14ac:dyDescent="0.25">
      <c r="A704" s="105" t="s">
        <v>13</v>
      </c>
      <c r="B704" s="94" t="s">
        <v>46</v>
      </c>
      <c r="C704" s="95">
        <v>2022</v>
      </c>
      <c r="D704" s="96">
        <v>0.4</v>
      </c>
      <c r="E704" s="96"/>
      <c r="F704" s="97">
        <v>15</v>
      </c>
      <c r="G704" s="106">
        <v>25337.63</v>
      </c>
      <c r="H704" s="147">
        <f t="shared" si="8"/>
        <v>25.337630000000001</v>
      </c>
    </row>
    <row r="705" spans="1:8" x14ac:dyDescent="0.25">
      <c r="A705" s="105" t="s">
        <v>13</v>
      </c>
      <c r="B705" s="94" t="s">
        <v>46</v>
      </c>
      <c r="C705" s="95">
        <v>2022</v>
      </c>
      <c r="D705" s="96">
        <v>0.4</v>
      </c>
      <c r="E705" s="96"/>
      <c r="F705" s="97">
        <v>15</v>
      </c>
      <c r="G705" s="106">
        <v>25337.65</v>
      </c>
      <c r="H705" s="147">
        <f t="shared" si="8"/>
        <v>25.33765</v>
      </c>
    </row>
    <row r="706" spans="1:8" x14ac:dyDescent="0.25">
      <c r="A706" s="105" t="s">
        <v>13</v>
      </c>
      <c r="B706" s="94" t="s">
        <v>45</v>
      </c>
      <c r="C706" s="95">
        <v>2022</v>
      </c>
      <c r="D706" s="96">
        <v>0.4</v>
      </c>
      <c r="E706" s="96"/>
      <c r="F706" s="97">
        <v>15</v>
      </c>
      <c r="G706" s="106">
        <v>25377.84</v>
      </c>
      <c r="H706" s="147">
        <f t="shared" si="8"/>
        <v>25.377839999999999</v>
      </c>
    </row>
    <row r="707" spans="1:8" x14ac:dyDescent="0.25">
      <c r="A707" s="105" t="s">
        <v>13</v>
      </c>
      <c r="B707" s="94" t="s">
        <v>697</v>
      </c>
      <c r="C707" s="95">
        <v>2022</v>
      </c>
      <c r="D707" s="96">
        <v>0.4</v>
      </c>
      <c r="E707" s="96"/>
      <c r="F707" s="97">
        <v>15</v>
      </c>
      <c r="G707" s="106">
        <v>28080.5</v>
      </c>
      <c r="H707" s="147">
        <f t="shared" si="8"/>
        <v>28.080500000000001</v>
      </c>
    </row>
    <row r="708" spans="1:8" x14ac:dyDescent="0.25">
      <c r="A708" s="105" t="s">
        <v>5</v>
      </c>
      <c r="B708" s="94" t="s">
        <v>44</v>
      </c>
      <c r="C708" s="95">
        <v>2022</v>
      </c>
      <c r="D708" s="96">
        <v>0.4</v>
      </c>
      <c r="E708" s="96"/>
      <c r="F708" s="97">
        <v>5</v>
      </c>
      <c r="G708" s="98">
        <v>13210.12</v>
      </c>
      <c r="H708" s="147">
        <f t="shared" si="8"/>
        <v>13.210120000000002</v>
      </c>
    </row>
    <row r="709" spans="1:8" x14ac:dyDescent="0.25">
      <c r="A709" s="105" t="s">
        <v>5</v>
      </c>
      <c r="B709" s="94" t="s">
        <v>43</v>
      </c>
      <c r="C709" s="95">
        <v>2022</v>
      </c>
      <c r="D709" s="96">
        <v>0.4</v>
      </c>
      <c r="E709" s="96"/>
      <c r="F709" s="97">
        <v>5</v>
      </c>
      <c r="G709" s="98">
        <v>12774.43</v>
      </c>
      <c r="H709" s="147">
        <f t="shared" si="8"/>
        <v>12.774430000000001</v>
      </c>
    </row>
    <row r="710" spans="1:8" x14ac:dyDescent="0.25">
      <c r="A710" s="105" t="s">
        <v>5</v>
      </c>
      <c r="B710" s="94" t="s">
        <v>42</v>
      </c>
      <c r="C710" s="95">
        <v>2022</v>
      </c>
      <c r="D710" s="96">
        <v>0.4</v>
      </c>
      <c r="E710" s="96"/>
      <c r="F710" s="97">
        <v>5</v>
      </c>
      <c r="G710" s="98">
        <v>27432.77</v>
      </c>
      <c r="H710" s="147">
        <f t="shared" si="8"/>
        <v>27.432770000000001</v>
      </c>
    </row>
    <row r="711" spans="1:8" x14ac:dyDescent="0.25">
      <c r="A711" s="105" t="s">
        <v>13</v>
      </c>
      <c r="B711" s="94" t="s">
        <v>41</v>
      </c>
      <c r="C711" s="95">
        <v>2022</v>
      </c>
      <c r="D711" s="96">
        <v>0.4</v>
      </c>
      <c r="E711" s="96"/>
      <c r="F711" s="97">
        <v>15</v>
      </c>
      <c r="G711" s="106">
        <v>28004.67</v>
      </c>
      <c r="H711" s="147">
        <f t="shared" si="8"/>
        <v>28.004669999999997</v>
      </c>
    </row>
    <row r="712" spans="1:8" x14ac:dyDescent="0.25">
      <c r="A712" s="105" t="s">
        <v>13</v>
      </c>
      <c r="B712" s="94" t="s">
        <v>698</v>
      </c>
      <c r="C712" s="95">
        <v>2022</v>
      </c>
      <c r="D712" s="96">
        <v>0.4</v>
      </c>
      <c r="E712" s="96"/>
      <c r="F712" s="97">
        <v>15</v>
      </c>
      <c r="G712" s="106">
        <v>25432.85</v>
      </c>
      <c r="H712" s="147">
        <f t="shared" ref="H712:H761" si="9">G712/1000</f>
        <v>25.432849999999998</v>
      </c>
    </row>
    <row r="713" spans="1:8" x14ac:dyDescent="0.25">
      <c r="A713" s="105" t="s">
        <v>13</v>
      </c>
      <c r="B713" s="94" t="s">
        <v>699</v>
      </c>
      <c r="C713" s="95">
        <v>2022</v>
      </c>
      <c r="D713" s="96">
        <v>0.4</v>
      </c>
      <c r="E713" s="96"/>
      <c r="F713" s="97">
        <v>15</v>
      </c>
      <c r="G713" s="106">
        <v>25791.18</v>
      </c>
      <c r="H713" s="147">
        <f t="shared" si="9"/>
        <v>25.791180000000001</v>
      </c>
    </row>
    <row r="714" spans="1:8" x14ac:dyDescent="0.25">
      <c r="A714" s="105" t="s">
        <v>13</v>
      </c>
      <c r="B714" s="94" t="s">
        <v>40</v>
      </c>
      <c r="C714" s="95">
        <v>2022</v>
      </c>
      <c r="D714" s="96">
        <v>0.4</v>
      </c>
      <c r="E714" s="96"/>
      <c r="F714" s="97">
        <v>15</v>
      </c>
      <c r="G714" s="106">
        <v>25705.38</v>
      </c>
      <c r="H714" s="147">
        <f t="shared" si="9"/>
        <v>25.705380000000002</v>
      </c>
    </row>
    <row r="715" spans="1:8" x14ac:dyDescent="0.25">
      <c r="A715" s="105" t="s">
        <v>13</v>
      </c>
      <c r="B715" s="94" t="s">
        <v>39</v>
      </c>
      <c r="C715" s="95">
        <v>2022</v>
      </c>
      <c r="D715" s="96">
        <v>0.4</v>
      </c>
      <c r="E715" s="96"/>
      <c r="F715" s="97">
        <v>15</v>
      </c>
      <c r="G715" s="106">
        <v>20082.32</v>
      </c>
      <c r="H715" s="147">
        <f t="shared" si="9"/>
        <v>20.082319999999999</v>
      </c>
    </row>
    <row r="716" spans="1:8" x14ac:dyDescent="0.25">
      <c r="A716" s="105" t="s">
        <v>13</v>
      </c>
      <c r="B716" s="94" t="s">
        <v>38</v>
      </c>
      <c r="C716" s="95">
        <v>2022</v>
      </c>
      <c r="D716" s="96">
        <v>0.4</v>
      </c>
      <c r="E716" s="96"/>
      <c r="F716" s="97">
        <v>15</v>
      </c>
      <c r="G716" s="106">
        <v>25449.31</v>
      </c>
      <c r="H716" s="147">
        <f t="shared" si="9"/>
        <v>25.449310000000001</v>
      </c>
    </row>
    <row r="717" spans="1:8" x14ac:dyDescent="0.25">
      <c r="A717" s="105" t="s">
        <v>13</v>
      </c>
      <c r="B717" s="94" t="s">
        <v>37</v>
      </c>
      <c r="C717" s="95">
        <v>2022</v>
      </c>
      <c r="D717" s="96">
        <v>0.4</v>
      </c>
      <c r="E717" s="96"/>
      <c r="F717" s="97">
        <v>15</v>
      </c>
      <c r="G717" s="106">
        <v>25621.19</v>
      </c>
      <c r="H717" s="147">
        <f t="shared" si="9"/>
        <v>25.621189999999999</v>
      </c>
    </row>
    <row r="718" spans="1:8" x14ac:dyDescent="0.25">
      <c r="A718" s="105" t="s">
        <v>13</v>
      </c>
      <c r="B718" s="94" t="s">
        <v>36</v>
      </c>
      <c r="C718" s="95">
        <v>2022</v>
      </c>
      <c r="D718" s="96">
        <v>0.4</v>
      </c>
      <c r="E718" s="96"/>
      <c r="F718" s="97">
        <v>15</v>
      </c>
      <c r="G718" s="106">
        <v>25377.84</v>
      </c>
      <c r="H718" s="147">
        <f t="shared" si="9"/>
        <v>25.377839999999999</v>
      </c>
    </row>
    <row r="719" spans="1:8" x14ac:dyDescent="0.25">
      <c r="A719" s="105" t="s">
        <v>5</v>
      </c>
      <c r="B719" s="94" t="s">
        <v>700</v>
      </c>
      <c r="C719" s="95">
        <v>2022</v>
      </c>
      <c r="D719" s="96">
        <v>0.4</v>
      </c>
      <c r="E719" s="96"/>
      <c r="F719" s="97">
        <v>5</v>
      </c>
      <c r="G719" s="98">
        <v>13230.26</v>
      </c>
      <c r="H719" s="147">
        <f t="shared" si="9"/>
        <v>13.230259999999999</v>
      </c>
    </row>
    <row r="720" spans="1:8" x14ac:dyDescent="0.25">
      <c r="A720" s="105" t="s">
        <v>13</v>
      </c>
      <c r="B720" s="94" t="s">
        <v>35</v>
      </c>
      <c r="C720" s="95">
        <v>2022</v>
      </c>
      <c r="D720" s="96">
        <v>0.4</v>
      </c>
      <c r="E720" s="96"/>
      <c r="F720" s="97">
        <v>15</v>
      </c>
      <c r="G720" s="106">
        <v>25599.63</v>
      </c>
      <c r="H720" s="147">
        <f t="shared" si="9"/>
        <v>25.599630000000001</v>
      </c>
    </row>
    <row r="721" spans="1:8" x14ac:dyDescent="0.25">
      <c r="A721" s="105" t="s">
        <v>13</v>
      </c>
      <c r="B721" s="94" t="s">
        <v>34</v>
      </c>
      <c r="C721" s="95">
        <v>2022</v>
      </c>
      <c r="D721" s="96">
        <v>0.4</v>
      </c>
      <c r="E721" s="96"/>
      <c r="F721" s="97">
        <v>15</v>
      </c>
      <c r="G721" s="106">
        <v>46501.3</v>
      </c>
      <c r="H721" s="147">
        <f t="shared" si="9"/>
        <v>46.501300000000001</v>
      </c>
    </row>
    <row r="722" spans="1:8" x14ac:dyDescent="0.25">
      <c r="A722" s="105" t="s">
        <v>13</v>
      </c>
      <c r="B722" s="94" t="s">
        <v>33</v>
      </c>
      <c r="C722" s="95">
        <v>2022</v>
      </c>
      <c r="D722" s="96">
        <v>0.4</v>
      </c>
      <c r="E722" s="96"/>
      <c r="F722" s="97">
        <v>15</v>
      </c>
      <c r="G722" s="106">
        <v>25294.16</v>
      </c>
      <c r="H722" s="147">
        <f t="shared" si="9"/>
        <v>25.294160000000002</v>
      </c>
    </row>
    <row r="723" spans="1:8" x14ac:dyDescent="0.25">
      <c r="A723" s="105" t="s">
        <v>5</v>
      </c>
      <c r="B723" s="94" t="s">
        <v>701</v>
      </c>
      <c r="C723" s="95">
        <v>2022</v>
      </c>
      <c r="D723" s="96">
        <v>0.4</v>
      </c>
      <c r="E723" s="96"/>
      <c r="F723" s="97">
        <v>5</v>
      </c>
      <c r="G723" s="98">
        <v>13104.92</v>
      </c>
      <c r="H723" s="147">
        <f t="shared" si="9"/>
        <v>13.10492</v>
      </c>
    </row>
    <row r="724" spans="1:8" x14ac:dyDescent="0.25">
      <c r="A724" s="105" t="s">
        <v>13</v>
      </c>
      <c r="B724" s="94" t="s">
        <v>569</v>
      </c>
      <c r="C724" s="95">
        <v>2022</v>
      </c>
      <c r="D724" s="96">
        <v>0.4</v>
      </c>
      <c r="E724" s="96"/>
      <c r="F724" s="97">
        <v>15</v>
      </c>
      <c r="G724" s="106">
        <v>46292.97</v>
      </c>
      <c r="H724" s="147">
        <f t="shared" si="9"/>
        <v>46.292970000000004</v>
      </c>
    </row>
    <row r="725" spans="1:8" x14ac:dyDescent="0.25">
      <c r="A725" s="105" t="s">
        <v>13</v>
      </c>
      <c r="B725" s="94" t="s">
        <v>32</v>
      </c>
      <c r="C725" s="95">
        <v>2022</v>
      </c>
      <c r="D725" s="96">
        <v>0.4</v>
      </c>
      <c r="E725" s="96"/>
      <c r="F725" s="97">
        <v>15</v>
      </c>
      <c r="G725" s="106">
        <v>25110.84</v>
      </c>
      <c r="H725" s="147">
        <f t="shared" si="9"/>
        <v>25.11084</v>
      </c>
    </row>
    <row r="726" spans="1:8" x14ac:dyDescent="0.25">
      <c r="A726" s="105" t="s">
        <v>13</v>
      </c>
      <c r="B726" s="94" t="s">
        <v>31</v>
      </c>
      <c r="C726" s="95">
        <v>2022</v>
      </c>
      <c r="D726" s="96">
        <v>0.4</v>
      </c>
      <c r="E726" s="96"/>
      <c r="F726" s="97">
        <v>15</v>
      </c>
      <c r="G726" s="106">
        <v>25602.51</v>
      </c>
      <c r="H726" s="147">
        <f t="shared" si="9"/>
        <v>25.602509999999999</v>
      </c>
    </row>
    <row r="727" spans="1:8" x14ac:dyDescent="0.25">
      <c r="A727" s="105" t="s">
        <v>13</v>
      </c>
      <c r="B727" s="94" t="s">
        <v>30</v>
      </c>
      <c r="C727" s="95">
        <v>2022</v>
      </c>
      <c r="D727" s="96">
        <v>0.4</v>
      </c>
      <c r="E727" s="96"/>
      <c r="F727" s="97">
        <v>15</v>
      </c>
      <c r="G727" s="106">
        <v>25384.52</v>
      </c>
      <c r="H727" s="147">
        <f t="shared" si="9"/>
        <v>25.384520000000002</v>
      </c>
    </row>
    <row r="728" spans="1:8" x14ac:dyDescent="0.25">
      <c r="A728" s="105" t="s">
        <v>13</v>
      </c>
      <c r="B728" s="94" t="s">
        <v>29</v>
      </c>
      <c r="C728" s="95">
        <v>2022</v>
      </c>
      <c r="D728" s="96">
        <v>0.4</v>
      </c>
      <c r="E728" s="96"/>
      <c r="F728" s="97">
        <v>15</v>
      </c>
      <c r="G728" s="106">
        <v>10722.07</v>
      </c>
      <c r="H728" s="147">
        <f t="shared" si="9"/>
        <v>10.72207</v>
      </c>
    </row>
    <row r="729" spans="1:8" x14ac:dyDescent="0.25">
      <c r="A729" s="105" t="s">
        <v>13</v>
      </c>
      <c r="B729" s="94" t="s">
        <v>702</v>
      </c>
      <c r="C729" s="95">
        <v>2022</v>
      </c>
      <c r="D729" s="96">
        <v>0.4</v>
      </c>
      <c r="E729" s="96"/>
      <c r="F729" s="97">
        <v>15</v>
      </c>
      <c r="G729" s="106">
        <v>29455.93</v>
      </c>
      <c r="H729" s="147">
        <f t="shared" si="9"/>
        <v>29.455929999999999</v>
      </c>
    </row>
    <row r="730" spans="1:8" x14ac:dyDescent="0.25">
      <c r="A730" s="105" t="s">
        <v>13</v>
      </c>
      <c r="B730" s="94" t="s">
        <v>702</v>
      </c>
      <c r="C730" s="95">
        <v>2022</v>
      </c>
      <c r="D730" s="96">
        <v>0.4</v>
      </c>
      <c r="E730" s="96"/>
      <c r="F730" s="97">
        <v>15</v>
      </c>
      <c r="G730" s="106">
        <v>28872.2</v>
      </c>
      <c r="H730" s="147">
        <f t="shared" si="9"/>
        <v>28.872199999999999</v>
      </c>
    </row>
    <row r="731" spans="1:8" x14ac:dyDescent="0.25">
      <c r="A731" s="105" t="s">
        <v>13</v>
      </c>
      <c r="B731" s="94" t="s">
        <v>28</v>
      </c>
      <c r="C731" s="95">
        <v>2022</v>
      </c>
      <c r="D731" s="96">
        <v>0.4</v>
      </c>
      <c r="E731" s="96"/>
      <c r="F731" s="97">
        <v>15</v>
      </c>
      <c r="G731" s="106">
        <v>25602.5</v>
      </c>
      <c r="H731" s="147">
        <f t="shared" si="9"/>
        <v>25.602499999999999</v>
      </c>
    </row>
    <row r="732" spans="1:8" x14ac:dyDescent="0.25">
      <c r="A732" s="105" t="s">
        <v>5</v>
      </c>
      <c r="B732" s="94" t="s">
        <v>27</v>
      </c>
      <c r="C732" s="95">
        <v>2022</v>
      </c>
      <c r="D732" s="96">
        <v>0.4</v>
      </c>
      <c r="E732" s="96"/>
      <c r="F732" s="97">
        <v>5</v>
      </c>
      <c r="G732" s="98">
        <v>12805.26</v>
      </c>
      <c r="H732" s="147">
        <f t="shared" si="9"/>
        <v>12.805260000000001</v>
      </c>
    </row>
    <row r="733" spans="1:8" x14ac:dyDescent="0.25">
      <c r="A733" s="105" t="s">
        <v>5</v>
      </c>
      <c r="B733" s="94" t="s">
        <v>26</v>
      </c>
      <c r="C733" s="95">
        <v>2022</v>
      </c>
      <c r="D733" s="96">
        <v>0.4</v>
      </c>
      <c r="E733" s="96"/>
      <c r="F733" s="97">
        <v>5</v>
      </c>
      <c r="G733" s="98">
        <v>25432.84</v>
      </c>
      <c r="H733" s="147">
        <f t="shared" si="9"/>
        <v>25.432839999999999</v>
      </c>
    </row>
    <row r="734" spans="1:8" x14ac:dyDescent="0.25">
      <c r="A734" s="105" t="s">
        <v>13</v>
      </c>
      <c r="B734" s="94" t="s">
        <v>25</v>
      </c>
      <c r="C734" s="95">
        <v>2022</v>
      </c>
      <c r="D734" s="96">
        <v>0.4</v>
      </c>
      <c r="E734" s="96"/>
      <c r="F734" s="97">
        <v>15</v>
      </c>
      <c r="G734" s="106">
        <v>29056.99</v>
      </c>
      <c r="H734" s="147">
        <f t="shared" si="9"/>
        <v>29.056990000000003</v>
      </c>
    </row>
    <row r="735" spans="1:8" x14ac:dyDescent="0.25">
      <c r="A735" s="105" t="s">
        <v>13</v>
      </c>
      <c r="B735" s="94" t="s">
        <v>24</v>
      </c>
      <c r="C735" s="95">
        <v>2022</v>
      </c>
      <c r="D735" s="96">
        <v>0.4</v>
      </c>
      <c r="E735" s="96"/>
      <c r="F735" s="97">
        <v>15</v>
      </c>
      <c r="G735" s="106">
        <v>25504.31</v>
      </c>
      <c r="H735" s="147">
        <f t="shared" si="9"/>
        <v>25.50431</v>
      </c>
    </row>
    <row r="736" spans="1:8" x14ac:dyDescent="0.25">
      <c r="A736" s="105" t="s">
        <v>13</v>
      </c>
      <c r="B736" s="94" t="s">
        <v>23</v>
      </c>
      <c r="C736" s="95">
        <v>2022</v>
      </c>
      <c r="D736" s="96">
        <v>0.4</v>
      </c>
      <c r="E736" s="96"/>
      <c r="F736" s="97">
        <v>15</v>
      </c>
      <c r="G736" s="106">
        <v>26105.48</v>
      </c>
      <c r="H736" s="147">
        <f t="shared" si="9"/>
        <v>26.10548</v>
      </c>
    </row>
    <row r="737" spans="1:8" x14ac:dyDescent="0.25">
      <c r="A737" s="105" t="s">
        <v>5</v>
      </c>
      <c r="B737" s="94" t="s">
        <v>63</v>
      </c>
      <c r="C737" s="95">
        <v>2022</v>
      </c>
      <c r="D737" s="96">
        <v>0.4</v>
      </c>
      <c r="E737" s="96"/>
      <c r="F737" s="97">
        <v>5</v>
      </c>
      <c r="G737" s="98">
        <v>13152.36</v>
      </c>
      <c r="H737" s="147">
        <f t="shared" si="9"/>
        <v>13.15236</v>
      </c>
    </row>
    <row r="738" spans="1:8" x14ac:dyDescent="0.25">
      <c r="A738" s="105" t="s">
        <v>13</v>
      </c>
      <c r="B738" s="94" t="s">
        <v>22</v>
      </c>
      <c r="C738" s="95">
        <v>2022</v>
      </c>
      <c r="D738" s="96">
        <v>0.4</v>
      </c>
      <c r="E738" s="96"/>
      <c r="F738" s="97">
        <v>15</v>
      </c>
      <c r="G738" s="106">
        <v>25431.66</v>
      </c>
      <c r="H738" s="147">
        <f t="shared" si="9"/>
        <v>25.431660000000001</v>
      </c>
    </row>
    <row r="739" spans="1:8" x14ac:dyDescent="0.25">
      <c r="A739" s="105" t="s">
        <v>13</v>
      </c>
      <c r="B739" s="94" t="s">
        <v>21</v>
      </c>
      <c r="C739" s="95">
        <v>2022</v>
      </c>
      <c r="D739" s="96">
        <v>0.4</v>
      </c>
      <c r="E739" s="96"/>
      <c r="F739" s="97">
        <v>15</v>
      </c>
      <c r="G739" s="106">
        <v>25291.81</v>
      </c>
      <c r="H739" s="147">
        <f t="shared" si="9"/>
        <v>25.291810000000002</v>
      </c>
    </row>
    <row r="740" spans="1:8" x14ac:dyDescent="0.25">
      <c r="A740" s="105" t="s">
        <v>13</v>
      </c>
      <c r="B740" s="94" t="s">
        <v>20</v>
      </c>
      <c r="C740" s="95">
        <v>2022</v>
      </c>
      <c r="D740" s="96">
        <v>0.4</v>
      </c>
      <c r="E740" s="96"/>
      <c r="F740" s="97">
        <v>15</v>
      </c>
      <c r="G740" s="106">
        <v>25422.84</v>
      </c>
      <c r="H740" s="147">
        <f t="shared" si="9"/>
        <v>25.422840000000001</v>
      </c>
    </row>
    <row r="741" spans="1:8" x14ac:dyDescent="0.25">
      <c r="A741" s="105" t="s">
        <v>13</v>
      </c>
      <c r="B741" s="94" t="s">
        <v>19</v>
      </c>
      <c r="C741" s="95">
        <v>2022</v>
      </c>
      <c r="D741" s="96">
        <v>0.4</v>
      </c>
      <c r="E741" s="96"/>
      <c r="F741" s="97">
        <v>15</v>
      </c>
      <c r="G741" s="106">
        <v>25299.52</v>
      </c>
      <c r="H741" s="147">
        <f t="shared" si="9"/>
        <v>25.299520000000001</v>
      </c>
    </row>
    <row r="742" spans="1:8" x14ac:dyDescent="0.25">
      <c r="A742" s="105" t="s">
        <v>13</v>
      </c>
      <c r="B742" s="94" t="s">
        <v>18</v>
      </c>
      <c r="C742" s="95">
        <v>2022</v>
      </c>
      <c r="D742" s="96">
        <v>0.4</v>
      </c>
      <c r="E742" s="96"/>
      <c r="F742" s="97">
        <v>15</v>
      </c>
      <c r="G742" s="106">
        <v>25672.84</v>
      </c>
      <c r="H742" s="147">
        <f t="shared" si="9"/>
        <v>25.672840000000001</v>
      </c>
    </row>
    <row r="743" spans="1:8" x14ac:dyDescent="0.25">
      <c r="A743" s="105" t="s">
        <v>13</v>
      </c>
      <c r="B743" s="94" t="s">
        <v>17</v>
      </c>
      <c r="C743" s="95">
        <v>2022</v>
      </c>
      <c r="D743" s="96">
        <v>0.4</v>
      </c>
      <c r="E743" s="96"/>
      <c r="F743" s="97">
        <v>15</v>
      </c>
      <c r="G743" s="106">
        <v>12679.92</v>
      </c>
      <c r="H743" s="147">
        <f t="shared" si="9"/>
        <v>12.679919999999999</v>
      </c>
    </row>
    <row r="744" spans="1:8" x14ac:dyDescent="0.25">
      <c r="A744" s="105" t="s">
        <v>13</v>
      </c>
      <c r="B744" s="94" t="s">
        <v>16</v>
      </c>
      <c r="C744" s="95">
        <v>2022</v>
      </c>
      <c r="D744" s="96">
        <v>0.4</v>
      </c>
      <c r="E744" s="96"/>
      <c r="F744" s="97">
        <v>15</v>
      </c>
      <c r="G744" s="106">
        <v>25337.63</v>
      </c>
      <c r="H744" s="147">
        <f t="shared" si="9"/>
        <v>25.337630000000001</v>
      </c>
    </row>
    <row r="745" spans="1:8" x14ac:dyDescent="0.25">
      <c r="A745" s="105" t="s">
        <v>13</v>
      </c>
      <c r="B745" s="94" t="s">
        <v>15</v>
      </c>
      <c r="C745" s="95">
        <v>2022</v>
      </c>
      <c r="D745" s="96">
        <v>0.4</v>
      </c>
      <c r="E745" s="96"/>
      <c r="F745" s="97">
        <v>15</v>
      </c>
      <c r="G745" s="106">
        <v>28330.35</v>
      </c>
      <c r="H745" s="147">
        <f t="shared" si="9"/>
        <v>28.330349999999999</v>
      </c>
    </row>
    <row r="746" spans="1:8" x14ac:dyDescent="0.25">
      <c r="A746" s="105" t="s">
        <v>5</v>
      </c>
      <c r="B746" s="94" t="s">
        <v>14</v>
      </c>
      <c r="C746" s="95">
        <v>2022</v>
      </c>
      <c r="D746" s="96">
        <v>0.4</v>
      </c>
      <c r="E746" s="96"/>
      <c r="F746" s="97">
        <v>5</v>
      </c>
      <c r="G746" s="98">
        <v>16497.97</v>
      </c>
      <c r="H746" s="147">
        <f t="shared" si="9"/>
        <v>16.497970000000002</v>
      </c>
    </row>
    <row r="747" spans="1:8" x14ac:dyDescent="0.25">
      <c r="A747" s="105" t="s">
        <v>5</v>
      </c>
      <c r="B747" s="94" t="s">
        <v>703</v>
      </c>
      <c r="C747" s="95">
        <v>2022</v>
      </c>
      <c r="D747" s="96">
        <v>0.4</v>
      </c>
      <c r="E747" s="96"/>
      <c r="F747" s="97">
        <v>5</v>
      </c>
      <c r="G747" s="98">
        <v>13090.85</v>
      </c>
      <c r="H747" s="147">
        <f t="shared" si="9"/>
        <v>13.09085</v>
      </c>
    </row>
    <row r="748" spans="1:8" x14ac:dyDescent="0.25">
      <c r="A748" s="105" t="s">
        <v>5</v>
      </c>
      <c r="B748" s="94" t="s">
        <v>703</v>
      </c>
      <c r="C748" s="95">
        <v>2022</v>
      </c>
      <c r="D748" s="96">
        <v>0.4</v>
      </c>
      <c r="E748" s="96"/>
      <c r="F748" s="97">
        <v>5</v>
      </c>
      <c r="G748" s="98">
        <v>13090.85</v>
      </c>
      <c r="H748" s="147">
        <f t="shared" si="9"/>
        <v>13.09085</v>
      </c>
    </row>
    <row r="749" spans="1:8" x14ac:dyDescent="0.25">
      <c r="A749" s="105" t="s">
        <v>13</v>
      </c>
      <c r="B749" s="94" t="s">
        <v>12</v>
      </c>
      <c r="C749" s="95">
        <v>2022</v>
      </c>
      <c r="D749" s="96">
        <v>0.4</v>
      </c>
      <c r="E749" s="96"/>
      <c r="F749" s="97">
        <v>15</v>
      </c>
      <c r="G749" s="106">
        <v>28174.67</v>
      </c>
      <c r="H749" s="147">
        <f t="shared" si="9"/>
        <v>28.174669999999999</v>
      </c>
    </row>
    <row r="750" spans="1:8" x14ac:dyDescent="0.25">
      <c r="A750" s="105" t="s">
        <v>5</v>
      </c>
      <c r="B750" s="94" t="s">
        <v>11</v>
      </c>
      <c r="C750" s="95">
        <v>2022</v>
      </c>
      <c r="D750" s="96">
        <v>0.4</v>
      </c>
      <c r="E750" s="96"/>
      <c r="F750" s="97">
        <v>5</v>
      </c>
      <c r="G750" s="98">
        <v>13015.95</v>
      </c>
      <c r="H750" s="147">
        <f t="shared" si="9"/>
        <v>13.01595</v>
      </c>
    </row>
    <row r="751" spans="1:8" x14ac:dyDescent="0.25">
      <c r="A751" s="105" t="s">
        <v>5</v>
      </c>
      <c r="B751" s="94" t="s">
        <v>689</v>
      </c>
      <c r="C751" s="95">
        <v>2022</v>
      </c>
      <c r="D751" s="96">
        <v>0.4</v>
      </c>
      <c r="E751" s="96"/>
      <c r="F751" s="97">
        <v>5</v>
      </c>
      <c r="G751" s="98">
        <v>13398.41</v>
      </c>
      <c r="H751" s="147">
        <f t="shared" si="9"/>
        <v>13.39841</v>
      </c>
    </row>
    <row r="752" spans="1:8" x14ac:dyDescent="0.25">
      <c r="A752" s="105" t="s">
        <v>5</v>
      </c>
      <c r="B752" s="94" t="s">
        <v>338</v>
      </c>
      <c r="C752" s="95">
        <v>2022</v>
      </c>
      <c r="D752" s="96">
        <v>0.4</v>
      </c>
      <c r="E752" s="96"/>
      <c r="F752" s="97">
        <v>5</v>
      </c>
      <c r="G752" s="98">
        <v>27507.02</v>
      </c>
      <c r="H752" s="147">
        <f t="shared" si="9"/>
        <v>27.507020000000001</v>
      </c>
    </row>
    <row r="753" spans="1:8" x14ac:dyDescent="0.25">
      <c r="A753" s="105" t="s">
        <v>13</v>
      </c>
      <c r="B753" s="94" t="s">
        <v>704</v>
      </c>
      <c r="C753" s="95">
        <v>2022</v>
      </c>
      <c r="D753" s="96">
        <v>0.4</v>
      </c>
      <c r="E753" s="96"/>
      <c r="F753" s="97">
        <v>14</v>
      </c>
      <c r="G753" s="106">
        <v>27250.66</v>
      </c>
      <c r="H753" s="147">
        <f t="shared" si="9"/>
        <v>27.25066</v>
      </c>
    </row>
    <row r="754" spans="1:8" x14ac:dyDescent="0.25">
      <c r="A754" s="105" t="s">
        <v>13</v>
      </c>
      <c r="B754" s="94" t="s">
        <v>395</v>
      </c>
      <c r="C754" s="95">
        <v>2022</v>
      </c>
      <c r="D754" s="96">
        <v>0.4</v>
      </c>
      <c r="E754" s="96"/>
      <c r="F754" s="97">
        <v>15</v>
      </c>
      <c r="G754" s="106">
        <v>8457.58</v>
      </c>
      <c r="H754" s="147">
        <f t="shared" si="9"/>
        <v>8.4575800000000001</v>
      </c>
    </row>
    <row r="755" spans="1:8" x14ac:dyDescent="0.25">
      <c r="A755" s="105" t="s">
        <v>5</v>
      </c>
      <c r="B755" s="94" t="s">
        <v>10</v>
      </c>
      <c r="C755" s="95">
        <v>2022</v>
      </c>
      <c r="D755" s="96">
        <v>0.4</v>
      </c>
      <c r="E755" s="96"/>
      <c r="F755" s="97">
        <v>5</v>
      </c>
      <c r="G755" s="98">
        <v>6116.35</v>
      </c>
      <c r="H755" s="147">
        <f t="shared" si="9"/>
        <v>6.1163500000000006</v>
      </c>
    </row>
    <row r="756" spans="1:8" x14ac:dyDescent="0.25">
      <c r="A756" s="105" t="s">
        <v>13</v>
      </c>
      <c r="B756" s="94" t="s">
        <v>705</v>
      </c>
      <c r="C756" s="95">
        <v>2022</v>
      </c>
      <c r="D756" s="96">
        <v>0.4</v>
      </c>
      <c r="E756" s="96"/>
      <c r="F756" s="97">
        <v>15</v>
      </c>
      <c r="G756" s="106">
        <v>29260.77</v>
      </c>
      <c r="H756" s="147">
        <f t="shared" si="9"/>
        <v>29.260770000000001</v>
      </c>
    </row>
    <row r="757" spans="1:8" x14ac:dyDescent="0.25">
      <c r="A757" s="105" t="s">
        <v>13</v>
      </c>
      <c r="B757" s="94" t="s">
        <v>706</v>
      </c>
      <c r="C757" s="95">
        <v>2022</v>
      </c>
      <c r="D757" s="96">
        <v>0.4</v>
      </c>
      <c r="E757" s="96"/>
      <c r="F757" s="97">
        <v>15</v>
      </c>
      <c r="G757" s="106">
        <v>11184.92</v>
      </c>
      <c r="H757" s="147">
        <f t="shared" si="9"/>
        <v>11.18492</v>
      </c>
    </row>
    <row r="758" spans="1:8" x14ac:dyDescent="0.25">
      <c r="A758" s="105" t="s">
        <v>13</v>
      </c>
      <c r="B758" s="94" t="s">
        <v>8</v>
      </c>
      <c r="C758" s="95">
        <v>2022</v>
      </c>
      <c r="D758" s="96">
        <v>0.4</v>
      </c>
      <c r="E758" s="96"/>
      <c r="F758" s="97">
        <v>15</v>
      </c>
      <c r="G758" s="106">
        <v>12366.69</v>
      </c>
      <c r="H758" s="147">
        <f t="shared" si="9"/>
        <v>12.36669</v>
      </c>
    </row>
    <row r="759" spans="1:8" x14ac:dyDescent="0.25">
      <c r="A759" s="105" t="s">
        <v>5</v>
      </c>
      <c r="B759" s="94" t="s">
        <v>7</v>
      </c>
      <c r="C759" s="95">
        <v>2022</v>
      </c>
      <c r="D759" s="96">
        <v>0.4</v>
      </c>
      <c r="E759" s="96"/>
      <c r="F759" s="97">
        <v>5</v>
      </c>
      <c r="G759" s="98">
        <v>12332.61</v>
      </c>
      <c r="H759" s="147">
        <f t="shared" si="9"/>
        <v>12.332610000000001</v>
      </c>
    </row>
    <row r="760" spans="1:8" x14ac:dyDescent="0.25">
      <c r="A760" s="105" t="s">
        <v>5</v>
      </c>
      <c r="B760" s="94" t="s">
        <v>6</v>
      </c>
      <c r="C760" s="95">
        <v>2022</v>
      </c>
      <c r="D760" s="96">
        <v>0.4</v>
      </c>
      <c r="E760" s="96"/>
      <c r="F760" s="97">
        <v>5</v>
      </c>
      <c r="G760" s="98">
        <v>6002.15</v>
      </c>
      <c r="H760" s="147">
        <f t="shared" si="9"/>
        <v>6.0021499999999994</v>
      </c>
    </row>
    <row r="761" spans="1:8" ht="16.5" thickBot="1" x14ac:dyDescent="0.3">
      <c r="A761" s="112" t="s">
        <v>5</v>
      </c>
      <c r="B761" s="113" t="s">
        <v>4</v>
      </c>
      <c r="C761" s="114">
        <v>2022</v>
      </c>
      <c r="D761" s="115">
        <v>0.4</v>
      </c>
      <c r="E761" s="115"/>
      <c r="F761" s="116">
        <v>5</v>
      </c>
      <c r="G761" s="117">
        <v>15319.67</v>
      </c>
      <c r="H761" s="147">
        <f t="shared" si="9"/>
        <v>15.31967</v>
      </c>
    </row>
    <row r="762" spans="1:8" x14ac:dyDescent="0.25">
      <c r="A762" s="12"/>
      <c r="B762" s="14"/>
      <c r="C762" s="12"/>
      <c r="D762" s="12"/>
      <c r="E762" s="13"/>
      <c r="F762" s="12"/>
      <c r="G762" s="11"/>
    </row>
    <row r="763" spans="1:8" x14ac:dyDescent="0.25">
      <c r="A763" s="12"/>
      <c r="B763" s="14"/>
      <c r="C763" s="12"/>
      <c r="D763" s="12"/>
      <c r="E763" s="13"/>
      <c r="F763" s="12"/>
      <c r="G763" s="11"/>
    </row>
    <row r="768" spans="1:8" ht="15.6" customHeight="1" x14ac:dyDescent="0.25">
      <c r="A768" s="326" t="s">
        <v>3</v>
      </c>
      <c r="B768" s="326"/>
      <c r="C768" s="326"/>
      <c r="D768" s="8"/>
      <c r="E768" s="7"/>
      <c r="F768" s="6" t="s">
        <v>2</v>
      </c>
    </row>
    <row r="769" spans="1:6" x14ac:dyDescent="0.25">
      <c r="A769" s="10"/>
      <c r="B769" s="9"/>
      <c r="C769" s="8"/>
      <c r="D769" s="8"/>
      <c r="E769" s="7"/>
      <c r="F769" s="8"/>
    </row>
    <row r="770" spans="1:6" ht="15.6" customHeight="1" x14ac:dyDescent="0.25">
      <c r="A770" s="326" t="s">
        <v>1</v>
      </c>
      <c r="B770" s="326"/>
      <c r="C770" s="326"/>
      <c r="D770" s="8"/>
      <c r="E770" s="7"/>
      <c r="F770" s="6" t="s">
        <v>0</v>
      </c>
    </row>
  </sheetData>
  <autoFilter ref="A5:G406" xr:uid="{00000000-0009-0000-0000-000000000000}"/>
  <mergeCells count="33">
    <mergeCell ref="D248:D249"/>
    <mergeCell ref="E248:E249"/>
    <mergeCell ref="F248:F249"/>
    <mergeCell ref="F1:G1"/>
    <mergeCell ref="A3:G3"/>
    <mergeCell ref="D246:D247"/>
    <mergeCell ref="E246:E247"/>
    <mergeCell ref="F246:F247"/>
    <mergeCell ref="D338:D339"/>
    <mergeCell ref="E338:E339"/>
    <mergeCell ref="F338:F339"/>
    <mergeCell ref="D250:D253"/>
    <mergeCell ref="E250:E253"/>
    <mergeCell ref="F250:F253"/>
    <mergeCell ref="D256:D257"/>
    <mergeCell ref="E256:E257"/>
    <mergeCell ref="F256:F257"/>
    <mergeCell ref="D268:D269"/>
    <mergeCell ref="E268:E269"/>
    <mergeCell ref="F268:F269"/>
    <mergeCell ref="D326:D327"/>
    <mergeCell ref="E326:E327"/>
    <mergeCell ref="E367:E369"/>
    <mergeCell ref="F367:F369"/>
    <mergeCell ref="A768:C768"/>
    <mergeCell ref="A770:C770"/>
    <mergeCell ref="D341:D342"/>
    <mergeCell ref="E341:E342"/>
    <mergeCell ref="F341:F342"/>
    <mergeCell ref="E362:E363"/>
    <mergeCell ref="F362:F363"/>
    <mergeCell ref="E365:E366"/>
    <mergeCell ref="F365:F36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9" fitToHeight="0" orientation="landscape" r:id="rId1"/>
  <rowBreaks count="4" manualBreakCount="4">
    <brk id="51" max="9" man="1"/>
    <brk id="159" max="9" man="1"/>
    <brk id="269" max="9" man="1"/>
    <brk id="28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tabColor rgb="FFC00000"/>
    <pageSetUpPr fitToPage="1"/>
  </sheetPr>
  <dimension ref="A1:T770"/>
  <sheetViews>
    <sheetView view="pageBreakPreview" topLeftCell="A68" zoomScale="80" zoomScaleNormal="100" zoomScaleSheetLayoutView="80" workbookViewId="0">
      <selection activeCell="H75" sqref="H75"/>
    </sheetView>
  </sheetViews>
  <sheetFormatPr defaultColWidth="9.140625" defaultRowHeight="15.75" x14ac:dyDescent="0.25"/>
  <cols>
    <col min="1" max="1" width="23.140625" style="5" customWidth="1"/>
    <col min="2" max="2" width="65.5703125" style="4" bestFit="1" customWidth="1"/>
    <col min="3" max="3" width="16" style="1" customWidth="1"/>
    <col min="4" max="4" width="18.5703125" style="3" customWidth="1"/>
    <col min="5" max="5" width="21.7109375" style="1" customWidth="1"/>
    <col min="6" max="6" width="22.28515625" style="3" customWidth="1"/>
    <col min="7" max="8" width="17" style="2" customWidth="1"/>
    <col min="9" max="9" width="12.7109375" style="1" customWidth="1"/>
    <col min="10" max="10" width="10.140625" style="1" customWidth="1"/>
    <col min="11" max="11" width="8.7109375" style="1" customWidth="1"/>
    <col min="12" max="12" width="10.7109375" style="1" customWidth="1"/>
    <col min="13" max="13" width="9.140625" style="1" customWidth="1"/>
    <col min="14" max="14" width="22.5703125" style="1" customWidth="1"/>
    <col min="15" max="15" width="19.28515625" style="1" customWidth="1"/>
    <col min="16" max="20" width="9.140625" style="1" customWidth="1"/>
    <col min="21" max="16384" width="9.140625" style="1"/>
  </cols>
  <sheetData>
    <row r="1" spans="1:12" x14ac:dyDescent="0.25">
      <c r="F1" s="334" t="s">
        <v>683</v>
      </c>
      <c r="G1" s="334"/>
      <c r="H1" s="81"/>
    </row>
    <row r="2" spans="1:12" ht="6.75" customHeight="1" x14ac:dyDescent="0.25"/>
    <row r="3" spans="1:12" ht="17.25" customHeight="1" x14ac:dyDescent="0.25">
      <c r="A3" s="335" t="s">
        <v>682</v>
      </c>
      <c r="B3" s="335"/>
      <c r="C3" s="335"/>
      <c r="D3" s="335"/>
      <c r="E3" s="335"/>
      <c r="F3" s="335"/>
      <c r="G3" s="335"/>
      <c r="H3" s="5"/>
    </row>
    <row r="4" spans="1:12" ht="10.5" customHeight="1" x14ac:dyDescent="0.25"/>
    <row r="5" spans="1:12" s="3" customFormat="1" ht="189" x14ac:dyDescent="0.25">
      <c r="A5" s="22" t="s">
        <v>681</v>
      </c>
      <c r="B5" s="14" t="s">
        <v>680</v>
      </c>
      <c r="C5" s="12" t="s">
        <v>679</v>
      </c>
      <c r="D5" s="12" t="s">
        <v>678</v>
      </c>
      <c r="E5" s="12" t="s">
        <v>677</v>
      </c>
      <c r="F5" s="12" t="s">
        <v>676</v>
      </c>
      <c r="G5" s="50" t="s">
        <v>725</v>
      </c>
      <c r="H5" s="134"/>
    </row>
    <row r="6" spans="1:12" ht="15.75" hidden="1" customHeight="1" x14ac:dyDescent="0.25">
      <c r="A6" s="22">
        <v>1</v>
      </c>
      <c r="B6" s="14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3"/>
    </row>
    <row r="7" spans="1:12" s="30" customFormat="1" ht="15.75" hidden="1" customHeight="1" x14ac:dyDescent="0.25">
      <c r="A7" s="35" t="s">
        <v>675</v>
      </c>
      <c r="B7" s="34" t="s">
        <v>674</v>
      </c>
      <c r="C7" s="33"/>
      <c r="D7" s="17"/>
      <c r="E7" s="33"/>
      <c r="F7" s="17"/>
      <c r="G7" s="32"/>
      <c r="H7" s="135"/>
    </row>
    <row r="8" spans="1:12" ht="31.5" hidden="1" customHeight="1" x14ac:dyDescent="0.25">
      <c r="A8" s="25" t="s">
        <v>673</v>
      </c>
      <c r="B8" s="29" t="s">
        <v>672</v>
      </c>
      <c r="C8" s="13"/>
      <c r="D8" s="12"/>
      <c r="E8" s="13"/>
      <c r="F8" s="12"/>
      <c r="G8" s="11"/>
    </row>
    <row r="9" spans="1:12" ht="31.5" hidden="1" customHeight="1" x14ac:dyDescent="0.25">
      <c r="A9" s="25" t="s">
        <v>671</v>
      </c>
      <c r="B9" s="29" t="s">
        <v>670</v>
      </c>
      <c r="C9" s="13"/>
      <c r="D9" s="12"/>
      <c r="E9" s="13"/>
      <c r="F9" s="12"/>
      <c r="G9" s="11"/>
    </row>
    <row r="10" spans="1:12" ht="31.5" hidden="1" customHeight="1" x14ac:dyDescent="0.25">
      <c r="A10" s="25" t="s">
        <v>669</v>
      </c>
      <c r="B10" s="29" t="s">
        <v>668</v>
      </c>
      <c r="C10" s="13"/>
      <c r="D10" s="12"/>
      <c r="E10" s="13"/>
      <c r="F10" s="12"/>
      <c r="G10" s="11"/>
    </row>
    <row r="11" spans="1:12" ht="80.099999999999994" hidden="1" customHeight="1" x14ac:dyDescent="0.25">
      <c r="A11" s="25" t="s">
        <v>667</v>
      </c>
      <c r="B11" s="29" t="s">
        <v>666</v>
      </c>
      <c r="C11" s="13"/>
      <c r="D11" s="12"/>
      <c r="E11" s="13"/>
      <c r="F11" s="12"/>
      <c r="G11" s="11"/>
    </row>
    <row r="12" spans="1:12" ht="18.95" hidden="1" customHeight="1" x14ac:dyDescent="0.25">
      <c r="A12" s="25" t="s">
        <v>665</v>
      </c>
      <c r="B12" s="29" t="s">
        <v>664</v>
      </c>
      <c r="C12" s="13"/>
      <c r="D12" s="12"/>
      <c r="E12" s="13"/>
      <c r="F12" s="12"/>
      <c r="G12" s="11"/>
    </row>
    <row r="13" spans="1:12" ht="17.25" customHeight="1" x14ac:dyDescent="0.25">
      <c r="A13" s="69" t="s">
        <v>564</v>
      </c>
      <c r="B13" s="14" t="s">
        <v>663</v>
      </c>
      <c r="C13" s="60">
        <v>2020</v>
      </c>
      <c r="D13" s="60">
        <v>0.4</v>
      </c>
      <c r="E13" s="60">
        <v>384</v>
      </c>
      <c r="F13" s="39">
        <v>15</v>
      </c>
      <c r="G13" s="68">
        <v>278.64</v>
      </c>
      <c r="H13" s="136"/>
      <c r="I13" s="70" t="s">
        <v>662</v>
      </c>
      <c r="J13" s="80"/>
      <c r="L13" s="80"/>
    </row>
    <row r="14" spans="1:12" ht="17.25" customHeight="1" x14ac:dyDescent="0.25">
      <c r="A14" s="79" t="s">
        <v>564</v>
      </c>
      <c r="B14" s="14" t="s">
        <v>473</v>
      </c>
      <c r="C14" s="78">
        <v>2020</v>
      </c>
      <c r="D14" s="78">
        <v>0.4</v>
      </c>
      <c r="E14" s="78">
        <v>126</v>
      </c>
      <c r="F14" s="78">
        <v>15</v>
      </c>
      <c r="G14" s="77">
        <v>231.49</v>
      </c>
      <c r="H14" s="137"/>
      <c r="I14" s="76" t="s">
        <v>549</v>
      </c>
      <c r="J14" s="70"/>
      <c r="L14" s="75"/>
    </row>
    <row r="15" spans="1:12" ht="17.25" customHeight="1" x14ac:dyDescent="0.25">
      <c r="A15" s="69" t="s">
        <v>564</v>
      </c>
      <c r="B15" s="14" t="s">
        <v>661</v>
      </c>
      <c r="C15" s="60">
        <v>2020</v>
      </c>
      <c r="D15" s="60">
        <v>0.4</v>
      </c>
      <c r="E15" s="60">
        <v>43</v>
      </c>
      <c r="F15" s="60">
        <v>15</v>
      </c>
      <c r="G15" s="74">
        <v>26.33</v>
      </c>
      <c r="H15" s="138"/>
      <c r="I15" s="70" t="s">
        <v>660</v>
      </c>
      <c r="J15" s="70"/>
      <c r="L15" s="75"/>
    </row>
    <row r="16" spans="1:12" ht="17.25" customHeight="1" x14ac:dyDescent="0.25">
      <c r="A16" s="69" t="s">
        <v>563</v>
      </c>
      <c r="B16" s="14" t="s">
        <v>659</v>
      </c>
      <c r="C16" s="60">
        <v>2020</v>
      </c>
      <c r="D16" s="60">
        <v>0.4</v>
      </c>
      <c r="E16" s="60">
        <v>119</v>
      </c>
      <c r="F16" s="39">
        <v>5</v>
      </c>
      <c r="G16" s="74">
        <v>23.22</v>
      </c>
      <c r="H16" s="138"/>
      <c r="I16" s="70" t="s">
        <v>658</v>
      </c>
      <c r="J16" s="70"/>
      <c r="L16" s="70"/>
    </row>
    <row r="17" spans="1:14" ht="17.25" customHeight="1" x14ac:dyDescent="0.25">
      <c r="A17" s="69" t="s">
        <v>563</v>
      </c>
      <c r="B17" s="14" t="s">
        <v>657</v>
      </c>
      <c r="C17" s="60">
        <v>2020</v>
      </c>
      <c r="D17" s="60">
        <v>0.4</v>
      </c>
      <c r="E17" s="39">
        <v>308</v>
      </c>
      <c r="F17" s="39">
        <v>5</v>
      </c>
      <c r="G17" s="68">
        <v>250.44</v>
      </c>
      <c r="H17" s="136"/>
      <c r="I17" s="70" t="s">
        <v>656</v>
      </c>
      <c r="J17" s="70"/>
      <c r="L17" s="70"/>
    </row>
    <row r="18" spans="1:14" ht="17.25" customHeight="1" x14ac:dyDescent="0.25">
      <c r="A18" s="69" t="s">
        <v>563</v>
      </c>
      <c r="B18" s="14" t="s">
        <v>655</v>
      </c>
      <c r="C18" s="60">
        <v>2020</v>
      </c>
      <c r="D18" s="60">
        <v>0.4</v>
      </c>
      <c r="E18" s="39">
        <v>263</v>
      </c>
      <c r="F18" s="39">
        <v>15</v>
      </c>
      <c r="G18" s="68">
        <v>251.51</v>
      </c>
      <c r="H18" s="136"/>
      <c r="I18" s="70" t="s">
        <v>654</v>
      </c>
      <c r="J18" s="70"/>
      <c r="L18" s="70"/>
    </row>
    <row r="19" spans="1:14" ht="17.25" customHeight="1" x14ac:dyDescent="0.25">
      <c r="A19" s="69" t="s">
        <v>564</v>
      </c>
      <c r="B19" s="14" t="s">
        <v>653</v>
      </c>
      <c r="C19" s="60">
        <v>2020</v>
      </c>
      <c r="D19" s="60">
        <v>0.4</v>
      </c>
      <c r="E19" s="39">
        <v>178</v>
      </c>
      <c r="F19" s="39">
        <v>15</v>
      </c>
      <c r="G19" s="68">
        <v>155.57</v>
      </c>
      <c r="H19" s="136"/>
      <c r="I19" s="70" t="s">
        <v>652</v>
      </c>
      <c r="J19" s="70"/>
      <c r="L19" s="70"/>
    </row>
    <row r="20" spans="1:14" ht="17.25" customHeight="1" x14ac:dyDescent="0.25">
      <c r="A20" s="69" t="s">
        <v>651</v>
      </c>
      <c r="B20" s="14" t="s">
        <v>471</v>
      </c>
      <c r="C20" s="39">
        <v>2020</v>
      </c>
      <c r="D20" s="39">
        <v>0.4</v>
      </c>
      <c r="E20" s="39">
        <v>107.7</v>
      </c>
      <c r="F20" s="60">
        <v>15</v>
      </c>
      <c r="G20" s="71">
        <v>48.08</v>
      </c>
      <c r="H20" s="139"/>
      <c r="I20" s="67" t="s">
        <v>650</v>
      </c>
      <c r="J20" s="58" t="s">
        <v>649</v>
      </c>
      <c r="L20" s="73"/>
    </row>
    <row r="21" spans="1:14" ht="17.25" customHeight="1" x14ac:dyDescent="0.25">
      <c r="A21" s="28" t="s">
        <v>564</v>
      </c>
      <c r="B21" s="27" t="s">
        <v>647</v>
      </c>
      <c r="C21" s="26">
        <v>2020</v>
      </c>
      <c r="D21" s="26">
        <v>0.4</v>
      </c>
      <c r="E21" s="26">
        <v>189</v>
      </c>
      <c r="F21" s="26">
        <v>15</v>
      </c>
      <c r="G21" s="72">
        <v>257.16000000000003</v>
      </c>
      <c r="H21" s="140"/>
      <c r="I21" s="57" t="s">
        <v>449</v>
      </c>
      <c r="J21" s="57" t="s">
        <v>648</v>
      </c>
      <c r="L21" s="66"/>
    </row>
    <row r="22" spans="1:14" ht="17.25" customHeight="1" x14ac:dyDescent="0.25">
      <c r="A22" s="28" t="s">
        <v>563</v>
      </c>
      <c r="B22" s="27" t="s">
        <v>647</v>
      </c>
      <c r="C22" s="26">
        <v>2020</v>
      </c>
      <c r="D22" s="26">
        <v>0.4</v>
      </c>
      <c r="E22" s="26">
        <v>65</v>
      </c>
      <c r="F22" s="26">
        <v>15</v>
      </c>
      <c r="G22" s="72">
        <v>33.42</v>
      </c>
      <c r="H22" s="140"/>
      <c r="I22" s="57"/>
      <c r="J22" s="57"/>
      <c r="L22" s="66"/>
    </row>
    <row r="23" spans="1:14" ht="17.25" customHeight="1" x14ac:dyDescent="0.25">
      <c r="A23" s="69" t="s">
        <v>564</v>
      </c>
      <c r="B23" s="14" t="s">
        <v>646</v>
      </c>
      <c r="C23" s="39">
        <v>2020</v>
      </c>
      <c r="D23" s="39">
        <v>0.4</v>
      </c>
      <c r="E23" s="39">
        <v>190</v>
      </c>
      <c r="F23" s="60">
        <v>100</v>
      </c>
      <c r="G23" s="71">
        <v>72.17</v>
      </c>
      <c r="H23" s="139"/>
      <c r="I23" s="67" t="s">
        <v>645</v>
      </c>
      <c r="J23" s="58"/>
      <c r="L23" s="66"/>
    </row>
    <row r="24" spans="1:14" ht="17.25" customHeight="1" x14ac:dyDescent="0.25">
      <c r="A24" s="69" t="s">
        <v>564</v>
      </c>
      <c r="B24" s="14" t="s">
        <v>300</v>
      </c>
      <c r="C24" s="39">
        <v>2020</v>
      </c>
      <c r="D24" s="39">
        <v>0.4</v>
      </c>
      <c r="E24" s="39">
        <v>53</v>
      </c>
      <c r="F24" s="60">
        <v>50</v>
      </c>
      <c r="G24" s="71">
        <v>162.63999999999999</v>
      </c>
      <c r="H24" s="141"/>
      <c r="I24" s="70">
        <v>52.4</v>
      </c>
      <c r="J24" s="58"/>
      <c r="L24" s="66"/>
    </row>
    <row r="25" spans="1:14" ht="17.25" customHeight="1" x14ac:dyDescent="0.25">
      <c r="A25" s="69" t="s">
        <v>564</v>
      </c>
      <c r="B25" s="14" t="s">
        <v>644</v>
      </c>
      <c r="C25" s="39">
        <v>2020</v>
      </c>
      <c r="D25" s="39">
        <v>0.4</v>
      </c>
      <c r="E25" s="39">
        <v>205</v>
      </c>
      <c r="F25" s="39">
        <v>60</v>
      </c>
      <c r="G25" s="68">
        <v>407.57</v>
      </c>
      <c r="H25" s="142"/>
      <c r="I25" s="67" t="s">
        <v>643</v>
      </c>
      <c r="J25" s="58"/>
      <c r="L25" s="66"/>
    </row>
    <row r="26" spans="1:14" ht="17.25" customHeight="1" x14ac:dyDescent="0.25">
      <c r="A26" s="69" t="s">
        <v>564</v>
      </c>
      <c r="B26" s="14" t="s">
        <v>642</v>
      </c>
      <c r="C26" s="39">
        <v>2020</v>
      </c>
      <c r="D26" s="39">
        <v>0.4</v>
      </c>
      <c r="E26" s="39">
        <v>200</v>
      </c>
      <c r="F26" s="60">
        <v>100</v>
      </c>
      <c r="G26" s="68">
        <v>115.64</v>
      </c>
      <c r="H26" s="142"/>
      <c r="I26" s="67">
        <v>12479</v>
      </c>
      <c r="J26" s="58"/>
      <c r="L26" s="66"/>
    </row>
    <row r="27" spans="1:14" ht="17.25" customHeight="1" x14ac:dyDescent="0.25">
      <c r="A27" s="69" t="s">
        <v>562</v>
      </c>
      <c r="B27" s="14" t="s">
        <v>641</v>
      </c>
      <c r="C27" s="60">
        <v>2020</v>
      </c>
      <c r="D27" s="60">
        <v>0.4</v>
      </c>
      <c r="E27" s="39">
        <v>676</v>
      </c>
      <c r="F27" s="39">
        <v>25</v>
      </c>
      <c r="G27" s="68">
        <v>672.93</v>
      </c>
      <c r="H27" s="136"/>
      <c r="I27" s="70" t="s">
        <v>640</v>
      </c>
      <c r="J27" s="70">
        <v>672.93</v>
      </c>
      <c r="L27" s="66"/>
    </row>
    <row r="28" spans="1:14" ht="17.25" customHeight="1" x14ac:dyDescent="0.25">
      <c r="A28" s="69" t="s">
        <v>563</v>
      </c>
      <c r="B28" s="14" t="s">
        <v>282</v>
      </c>
      <c r="C28" s="39">
        <v>2020</v>
      </c>
      <c r="D28" s="60">
        <v>0.4</v>
      </c>
      <c r="E28" s="39">
        <v>20</v>
      </c>
      <c r="F28" s="39">
        <v>14</v>
      </c>
      <c r="G28" s="68">
        <v>4.76</v>
      </c>
      <c r="H28" s="136"/>
      <c r="I28" s="70">
        <v>338</v>
      </c>
      <c r="J28" s="70"/>
      <c r="L28" s="66"/>
    </row>
    <row r="29" spans="1:14" ht="17.25" customHeight="1" x14ac:dyDescent="0.25">
      <c r="A29" s="69" t="s">
        <v>563</v>
      </c>
      <c r="B29" s="14" t="s">
        <v>282</v>
      </c>
      <c r="C29" s="39">
        <v>2020</v>
      </c>
      <c r="D29" s="60">
        <v>0.4</v>
      </c>
      <c r="E29" s="39">
        <v>46</v>
      </c>
      <c r="F29" s="60">
        <v>14</v>
      </c>
      <c r="G29" s="68">
        <v>167.09</v>
      </c>
      <c r="H29" s="142"/>
      <c r="I29" s="67">
        <v>338</v>
      </c>
      <c r="J29" s="58"/>
      <c r="L29" s="66"/>
    </row>
    <row r="30" spans="1:14" ht="17.25" hidden="1" customHeight="1" x14ac:dyDescent="0.25">
      <c r="A30" s="62" t="s">
        <v>639</v>
      </c>
      <c r="B30" s="82" t="s">
        <v>638</v>
      </c>
      <c r="C30" s="60">
        <v>2020</v>
      </c>
      <c r="D30" s="60">
        <v>6</v>
      </c>
      <c r="E30" s="60">
        <v>205</v>
      </c>
      <c r="F30" s="60">
        <v>300</v>
      </c>
      <c r="G30" s="59">
        <v>399.38</v>
      </c>
      <c r="H30" s="143"/>
      <c r="I30" s="57" t="s">
        <v>637</v>
      </c>
      <c r="J30" s="65"/>
      <c r="L30" s="64"/>
      <c r="N30" s="52"/>
    </row>
    <row r="31" spans="1:14" ht="17.25" customHeight="1" x14ac:dyDescent="0.25">
      <c r="A31" s="62" t="s">
        <v>563</v>
      </c>
      <c r="B31" s="82" t="s">
        <v>252</v>
      </c>
      <c r="C31" s="60">
        <v>2021</v>
      </c>
      <c r="D31" s="60">
        <v>0.4</v>
      </c>
      <c r="E31" s="60">
        <v>120</v>
      </c>
      <c r="F31" s="60">
        <v>15</v>
      </c>
      <c r="G31" s="59">
        <v>27.730599999999999</v>
      </c>
      <c r="H31" s="143"/>
      <c r="I31" s="57" t="s">
        <v>636</v>
      </c>
      <c r="J31" s="65"/>
      <c r="L31" s="64"/>
      <c r="N31" s="52"/>
    </row>
    <row r="32" spans="1:14" ht="17.25" customHeight="1" x14ac:dyDescent="0.25">
      <c r="A32" s="62" t="s">
        <v>563</v>
      </c>
      <c r="B32" s="82" t="s">
        <v>635</v>
      </c>
      <c r="C32" s="60">
        <v>2021</v>
      </c>
      <c r="D32" s="60">
        <v>0.4</v>
      </c>
      <c r="E32" s="60">
        <v>46</v>
      </c>
      <c r="F32" s="60">
        <v>15</v>
      </c>
      <c r="G32" s="59">
        <v>28.8673</v>
      </c>
      <c r="H32" s="143"/>
      <c r="I32" s="57" t="s">
        <v>634</v>
      </c>
      <c r="J32" s="65"/>
      <c r="L32" s="64"/>
      <c r="N32" s="52"/>
    </row>
    <row r="33" spans="1:14" ht="17.25" customHeight="1" x14ac:dyDescent="0.25">
      <c r="A33" s="62" t="s">
        <v>563</v>
      </c>
      <c r="B33" s="82" t="s">
        <v>633</v>
      </c>
      <c r="C33" s="60">
        <v>2021</v>
      </c>
      <c r="D33" s="60">
        <v>0.4</v>
      </c>
      <c r="E33" s="60">
        <v>61</v>
      </c>
      <c r="F33" s="60">
        <v>15</v>
      </c>
      <c r="G33" s="59">
        <v>35.5533</v>
      </c>
      <c r="H33" s="143"/>
      <c r="I33" s="57" t="s">
        <v>632</v>
      </c>
      <c r="J33" s="65"/>
      <c r="L33" s="64"/>
      <c r="N33" s="52"/>
    </row>
    <row r="34" spans="1:14" ht="17.25" customHeight="1" x14ac:dyDescent="0.25">
      <c r="A34" s="62" t="s">
        <v>564</v>
      </c>
      <c r="B34" s="82" t="s">
        <v>631</v>
      </c>
      <c r="C34" s="60">
        <v>2021</v>
      </c>
      <c r="D34" s="60">
        <v>0.4</v>
      </c>
      <c r="E34" s="60">
        <v>274</v>
      </c>
      <c r="F34" s="60">
        <v>15</v>
      </c>
      <c r="G34" s="59">
        <v>372.01900000000001</v>
      </c>
      <c r="H34" s="143"/>
      <c r="I34" s="57" t="s">
        <v>630</v>
      </c>
      <c r="J34" s="65"/>
      <c r="L34" s="64"/>
      <c r="N34" s="52"/>
    </row>
    <row r="35" spans="1:14" ht="17.25" customHeight="1" x14ac:dyDescent="0.25">
      <c r="A35" s="62" t="s">
        <v>563</v>
      </c>
      <c r="B35" s="82" t="s">
        <v>629</v>
      </c>
      <c r="C35" s="60">
        <v>2021</v>
      </c>
      <c r="D35" s="60">
        <v>0.4</v>
      </c>
      <c r="E35" s="60">
        <v>53</v>
      </c>
      <c r="F35" s="60">
        <v>15</v>
      </c>
      <c r="G35" s="59">
        <v>23.258099999999999</v>
      </c>
      <c r="H35" s="143"/>
      <c r="I35" s="57" t="s">
        <v>628</v>
      </c>
      <c r="J35" s="65"/>
      <c r="L35" s="64"/>
      <c r="N35" s="52"/>
    </row>
    <row r="36" spans="1:14" ht="17.25" customHeight="1" x14ac:dyDescent="0.25">
      <c r="A36" s="62" t="s">
        <v>563</v>
      </c>
      <c r="B36" s="82" t="s">
        <v>627</v>
      </c>
      <c r="C36" s="60">
        <v>2021</v>
      </c>
      <c r="D36" s="60">
        <v>0.4</v>
      </c>
      <c r="E36" s="60">
        <v>20</v>
      </c>
      <c r="F36" s="60">
        <v>5</v>
      </c>
      <c r="G36" s="59">
        <v>16.187100000000001</v>
      </c>
      <c r="H36" s="143"/>
      <c r="I36" s="57" t="s">
        <v>626</v>
      </c>
      <c r="J36" s="65"/>
      <c r="L36" s="64"/>
      <c r="N36" s="52"/>
    </row>
    <row r="37" spans="1:14" ht="17.25" customHeight="1" x14ac:dyDescent="0.25">
      <c r="A37" s="62" t="s">
        <v>563</v>
      </c>
      <c r="B37" s="82" t="s">
        <v>625</v>
      </c>
      <c r="C37" s="60">
        <v>2021</v>
      </c>
      <c r="D37" s="60">
        <v>0.4</v>
      </c>
      <c r="E37" s="60">
        <v>120</v>
      </c>
      <c r="F37" s="60">
        <v>15</v>
      </c>
      <c r="G37" s="59">
        <v>23.052399999999999</v>
      </c>
      <c r="H37" s="143"/>
      <c r="I37" s="57" t="s">
        <v>624</v>
      </c>
      <c r="J37" s="65"/>
      <c r="L37" s="64"/>
      <c r="N37" s="52"/>
    </row>
    <row r="38" spans="1:14" ht="17.25" customHeight="1" x14ac:dyDescent="0.25">
      <c r="A38" s="62" t="s">
        <v>563</v>
      </c>
      <c r="B38" s="82" t="s">
        <v>124</v>
      </c>
      <c r="C38" s="60">
        <v>2021</v>
      </c>
      <c r="D38" s="60">
        <v>0.4</v>
      </c>
      <c r="E38" s="60">
        <v>40</v>
      </c>
      <c r="F38" s="60">
        <v>15</v>
      </c>
      <c r="G38" s="59">
        <v>11.1975</v>
      </c>
      <c r="H38" s="143"/>
      <c r="I38" s="57" t="s">
        <v>623</v>
      </c>
      <c r="J38" s="65"/>
      <c r="L38" s="64"/>
      <c r="N38" s="52"/>
    </row>
    <row r="39" spans="1:14" ht="17.25" customHeight="1" x14ac:dyDescent="0.25">
      <c r="A39" s="62" t="s">
        <v>563</v>
      </c>
      <c r="B39" s="82" t="s">
        <v>622</v>
      </c>
      <c r="C39" s="60">
        <v>2021</v>
      </c>
      <c r="D39" s="60">
        <v>0.4</v>
      </c>
      <c r="E39" s="60">
        <v>95</v>
      </c>
      <c r="F39" s="60">
        <v>15</v>
      </c>
      <c r="G39" s="59">
        <v>98.036500000000004</v>
      </c>
      <c r="H39" s="143"/>
      <c r="I39" s="57" t="s">
        <v>621</v>
      </c>
      <c r="J39" s="65"/>
      <c r="L39" s="64"/>
      <c r="N39" s="52"/>
    </row>
    <row r="40" spans="1:14" ht="17.25" customHeight="1" x14ac:dyDescent="0.25">
      <c r="A40" s="62" t="s">
        <v>563</v>
      </c>
      <c r="B40" s="82" t="s">
        <v>207</v>
      </c>
      <c r="C40" s="60">
        <v>2021</v>
      </c>
      <c r="D40" s="60">
        <v>0.4</v>
      </c>
      <c r="E40" s="60">
        <v>28</v>
      </c>
      <c r="F40" s="60">
        <v>5</v>
      </c>
      <c r="G40" s="59">
        <v>10.8569</v>
      </c>
      <c r="H40" s="143"/>
      <c r="I40" s="57" t="s">
        <v>434</v>
      </c>
      <c r="J40" s="65"/>
      <c r="L40" s="64"/>
      <c r="N40" s="52"/>
    </row>
    <row r="41" spans="1:14" ht="17.25" customHeight="1" x14ac:dyDescent="0.25">
      <c r="A41" s="62" t="s">
        <v>563</v>
      </c>
      <c r="B41" s="82" t="s">
        <v>433</v>
      </c>
      <c r="C41" s="60">
        <v>2021</v>
      </c>
      <c r="D41" s="60">
        <v>0.4</v>
      </c>
      <c r="E41" s="60">
        <v>63</v>
      </c>
      <c r="F41" s="60">
        <v>5</v>
      </c>
      <c r="G41" s="59">
        <v>15.677</v>
      </c>
      <c r="H41" s="143"/>
      <c r="I41" s="57" t="s">
        <v>432</v>
      </c>
      <c r="J41" s="65"/>
      <c r="L41" s="64"/>
      <c r="N41" s="52"/>
    </row>
    <row r="42" spans="1:14" ht="17.25" customHeight="1" x14ac:dyDescent="0.25">
      <c r="A42" s="62" t="s">
        <v>563</v>
      </c>
      <c r="B42" s="82" t="s">
        <v>620</v>
      </c>
      <c r="C42" s="60">
        <v>2021</v>
      </c>
      <c r="D42" s="60">
        <v>0.4</v>
      </c>
      <c r="E42" s="60">
        <v>111</v>
      </c>
      <c r="F42" s="60">
        <v>15</v>
      </c>
      <c r="G42" s="59">
        <v>138.12799999999999</v>
      </c>
      <c r="H42" s="143"/>
      <c r="I42" s="57" t="s">
        <v>619</v>
      </c>
      <c r="J42" s="65"/>
      <c r="L42" s="64"/>
      <c r="N42" s="52"/>
    </row>
    <row r="43" spans="1:14" ht="17.25" customHeight="1" x14ac:dyDescent="0.25">
      <c r="A43" s="62" t="s">
        <v>563</v>
      </c>
      <c r="B43" s="82" t="s">
        <v>618</v>
      </c>
      <c r="C43" s="60">
        <v>2021</v>
      </c>
      <c r="D43" s="60">
        <v>0.4</v>
      </c>
      <c r="E43" s="60">
        <v>224</v>
      </c>
      <c r="F43" s="60">
        <v>5</v>
      </c>
      <c r="G43" s="59">
        <v>65.398700000000005</v>
      </c>
      <c r="H43" s="143"/>
      <c r="I43" s="57" t="s">
        <v>617</v>
      </c>
      <c r="J43" s="65"/>
      <c r="L43" s="64"/>
      <c r="N43" s="52"/>
    </row>
    <row r="44" spans="1:14" ht="17.25" customHeight="1" x14ac:dyDescent="0.25">
      <c r="A44" s="62" t="s">
        <v>563</v>
      </c>
      <c r="B44" s="82" t="s">
        <v>616</v>
      </c>
      <c r="C44" s="60">
        <v>2021</v>
      </c>
      <c r="D44" s="60">
        <v>0.4</v>
      </c>
      <c r="E44" s="60">
        <v>200</v>
      </c>
      <c r="F44" s="60">
        <v>15</v>
      </c>
      <c r="G44" s="59">
        <v>303.72000000000003</v>
      </c>
      <c r="H44" s="143"/>
      <c r="I44" s="57" t="s">
        <v>615</v>
      </c>
      <c r="J44" s="65"/>
      <c r="L44" s="64"/>
      <c r="N44" s="52"/>
    </row>
    <row r="45" spans="1:14" ht="17.25" customHeight="1" x14ac:dyDescent="0.25">
      <c r="A45" s="62" t="s">
        <v>563</v>
      </c>
      <c r="B45" s="82" t="s">
        <v>215</v>
      </c>
      <c r="C45" s="60">
        <v>2021</v>
      </c>
      <c r="D45" s="60">
        <v>0.4</v>
      </c>
      <c r="E45" s="60">
        <v>32</v>
      </c>
      <c r="F45" s="60">
        <v>15</v>
      </c>
      <c r="G45" s="59">
        <v>15.5602</v>
      </c>
      <c r="H45" s="143"/>
      <c r="I45" s="57" t="s">
        <v>614</v>
      </c>
      <c r="J45" s="65"/>
      <c r="L45" s="64"/>
      <c r="N45" s="52"/>
    </row>
    <row r="46" spans="1:14" ht="17.25" customHeight="1" x14ac:dyDescent="0.25">
      <c r="A46" s="62" t="s">
        <v>563</v>
      </c>
      <c r="B46" s="82" t="s">
        <v>613</v>
      </c>
      <c r="C46" s="60">
        <v>2021</v>
      </c>
      <c r="D46" s="60">
        <v>0.4</v>
      </c>
      <c r="E46" s="60">
        <v>84</v>
      </c>
      <c r="F46" s="60">
        <v>15</v>
      </c>
      <c r="G46" s="59">
        <v>27.002099999999999</v>
      </c>
      <c r="H46" s="143"/>
      <c r="I46" s="57" t="s">
        <v>612</v>
      </c>
      <c r="J46" s="65"/>
      <c r="L46" s="64"/>
      <c r="N46" s="52"/>
    </row>
    <row r="47" spans="1:14" ht="17.25" customHeight="1" x14ac:dyDescent="0.25">
      <c r="A47" s="62" t="s">
        <v>564</v>
      </c>
      <c r="B47" s="82" t="s">
        <v>611</v>
      </c>
      <c r="C47" s="60">
        <v>2021</v>
      </c>
      <c r="D47" s="60">
        <v>0.4</v>
      </c>
      <c r="E47" s="60">
        <v>43</v>
      </c>
      <c r="F47" s="60"/>
      <c r="G47" s="59">
        <v>26.329499999999999</v>
      </c>
      <c r="H47" s="143"/>
      <c r="I47" s="57"/>
      <c r="J47" s="65"/>
      <c r="L47" s="64"/>
      <c r="N47" s="52"/>
    </row>
    <row r="48" spans="1:14" ht="17.25" customHeight="1" x14ac:dyDescent="0.25">
      <c r="A48" s="62" t="s">
        <v>563</v>
      </c>
      <c r="B48" s="82" t="s">
        <v>610</v>
      </c>
      <c r="C48" s="60">
        <v>2021</v>
      </c>
      <c r="D48" s="60">
        <v>0.4</v>
      </c>
      <c r="E48" s="60">
        <v>70</v>
      </c>
      <c r="F48" s="60">
        <v>5</v>
      </c>
      <c r="G48" s="59">
        <v>34.062600000000003</v>
      </c>
      <c r="H48" s="143"/>
      <c r="I48" s="57" t="s">
        <v>609</v>
      </c>
      <c r="J48" s="65"/>
      <c r="L48" s="64"/>
      <c r="N48" s="52"/>
    </row>
    <row r="49" spans="1:14" ht="17.25" hidden="1" customHeight="1" x14ac:dyDescent="0.25">
      <c r="A49" s="62" t="s">
        <v>563</v>
      </c>
      <c r="B49" s="82" t="s">
        <v>608</v>
      </c>
      <c r="C49" s="60">
        <v>2021</v>
      </c>
      <c r="D49" s="60">
        <v>6</v>
      </c>
      <c r="E49" s="60">
        <v>10</v>
      </c>
      <c r="F49" s="60">
        <v>5</v>
      </c>
      <c r="G49" s="59">
        <v>94.545400000000001</v>
      </c>
      <c r="H49" s="143"/>
      <c r="I49" s="57" t="s">
        <v>607</v>
      </c>
      <c r="J49" s="65"/>
      <c r="L49" s="64"/>
      <c r="N49" s="52"/>
    </row>
    <row r="50" spans="1:14" ht="17.25" customHeight="1" x14ac:dyDescent="0.25">
      <c r="A50" s="62" t="s">
        <v>564</v>
      </c>
      <c r="B50" s="82" t="s">
        <v>606</v>
      </c>
      <c r="C50" s="60">
        <v>2021</v>
      </c>
      <c r="D50" s="60">
        <v>0.4</v>
      </c>
      <c r="E50" s="60">
        <v>261</v>
      </c>
      <c r="F50" s="60">
        <v>15</v>
      </c>
      <c r="G50" s="59">
        <v>109.60299999999999</v>
      </c>
      <c r="H50" s="143"/>
      <c r="I50" s="57" t="s">
        <v>605</v>
      </c>
      <c r="J50" s="65"/>
      <c r="L50" s="64"/>
      <c r="N50" s="52"/>
    </row>
    <row r="51" spans="1:14" ht="17.25" customHeight="1" x14ac:dyDescent="0.25">
      <c r="A51" s="62" t="s">
        <v>563</v>
      </c>
      <c r="B51" s="82" t="s">
        <v>186</v>
      </c>
      <c r="C51" s="60">
        <v>2021</v>
      </c>
      <c r="D51" s="60">
        <v>0.4</v>
      </c>
      <c r="E51" s="60">
        <v>30</v>
      </c>
      <c r="F51" s="60">
        <v>15</v>
      </c>
      <c r="G51" s="59">
        <v>21.963000000000001</v>
      </c>
      <c r="H51" s="143"/>
      <c r="I51" s="57" t="s">
        <v>604</v>
      </c>
      <c r="J51" s="65"/>
      <c r="L51" s="64"/>
      <c r="N51" s="52"/>
    </row>
    <row r="52" spans="1:14" ht="17.25" customHeight="1" x14ac:dyDescent="0.25">
      <c r="A52" s="62" t="s">
        <v>563</v>
      </c>
      <c r="B52" s="82" t="s">
        <v>142</v>
      </c>
      <c r="C52" s="60">
        <v>2021</v>
      </c>
      <c r="D52" s="60">
        <v>0.4</v>
      </c>
      <c r="E52" s="60">
        <v>196</v>
      </c>
      <c r="F52" s="60">
        <v>5</v>
      </c>
      <c r="G52" s="59">
        <v>93.299000000000007</v>
      </c>
      <c r="H52" s="143"/>
      <c r="I52" s="57" t="s">
        <v>603</v>
      </c>
      <c r="J52" s="65"/>
      <c r="L52" s="64"/>
      <c r="N52" s="52"/>
    </row>
    <row r="53" spans="1:14" ht="17.25" customHeight="1" x14ac:dyDescent="0.25">
      <c r="A53" s="62" t="s">
        <v>563</v>
      </c>
      <c r="B53" s="82" t="s">
        <v>602</v>
      </c>
      <c r="C53" s="60">
        <v>2021</v>
      </c>
      <c r="D53" s="60">
        <v>0.4</v>
      </c>
      <c r="E53" s="60">
        <v>86</v>
      </c>
      <c r="F53" s="60">
        <v>10</v>
      </c>
      <c r="G53" s="59">
        <v>29.929400000000001</v>
      </c>
      <c r="H53" s="143"/>
      <c r="I53" s="57" t="s">
        <v>601</v>
      </c>
      <c r="J53" s="65"/>
      <c r="L53" s="64"/>
      <c r="N53" s="52"/>
    </row>
    <row r="54" spans="1:14" ht="17.25" customHeight="1" x14ac:dyDescent="0.25">
      <c r="A54" s="62" t="s">
        <v>563</v>
      </c>
      <c r="B54" s="82" t="s">
        <v>600</v>
      </c>
      <c r="C54" s="60">
        <v>2021</v>
      </c>
      <c r="D54" s="60">
        <v>0.4</v>
      </c>
      <c r="E54" s="60">
        <v>274</v>
      </c>
      <c r="F54" s="60">
        <v>10</v>
      </c>
      <c r="G54" s="59">
        <v>149.434</v>
      </c>
      <c r="H54" s="143"/>
      <c r="I54" s="57" t="s">
        <v>599</v>
      </c>
      <c r="J54" s="65"/>
      <c r="L54" s="64"/>
      <c r="N54" s="52"/>
    </row>
    <row r="55" spans="1:14" ht="17.25" customHeight="1" x14ac:dyDescent="0.25">
      <c r="A55" s="62" t="s">
        <v>563</v>
      </c>
      <c r="B55" s="82" t="s">
        <v>598</v>
      </c>
      <c r="C55" s="60">
        <v>2021</v>
      </c>
      <c r="D55" s="60">
        <v>0.4</v>
      </c>
      <c r="E55" s="60">
        <v>76</v>
      </c>
      <c r="F55" s="60">
        <v>10</v>
      </c>
      <c r="G55" s="59">
        <v>22.759799999999998</v>
      </c>
      <c r="H55" s="143"/>
      <c r="I55" s="57" t="s">
        <v>597</v>
      </c>
      <c r="J55" s="65"/>
      <c r="L55" s="64"/>
      <c r="N55" s="52"/>
    </row>
    <row r="56" spans="1:14" ht="17.25" customHeight="1" x14ac:dyDescent="0.25">
      <c r="A56" s="62" t="s">
        <v>563</v>
      </c>
      <c r="B56" s="82" t="s">
        <v>596</v>
      </c>
      <c r="C56" s="60">
        <v>2021</v>
      </c>
      <c r="D56" s="60">
        <v>0.4</v>
      </c>
      <c r="E56" s="60">
        <v>67</v>
      </c>
      <c r="F56" s="60">
        <v>10</v>
      </c>
      <c r="G56" s="59">
        <v>9.6864899999999992</v>
      </c>
      <c r="H56" s="143"/>
      <c r="I56" s="57" t="s">
        <v>595</v>
      </c>
      <c r="J56" s="65"/>
      <c r="L56" s="64"/>
      <c r="N56" s="52"/>
    </row>
    <row r="57" spans="1:14" ht="17.25" customHeight="1" x14ac:dyDescent="0.25">
      <c r="A57" s="62" t="s">
        <v>563</v>
      </c>
      <c r="B57" s="82" t="s">
        <v>594</v>
      </c>
      <c r="C57" s="60">
        <v>2021</v>
      </c>
      <c r="D57" s="60">
        <v>0.4</v>
      </c>
      <c r="E57" s="60">
        <v>240</v>
      </c>
      <c r="F57" s="60">
        <v>30</v>
      </c>
      <c r="G57" s="59">
        <v>54.777200000000001</v>
      </c>
      <c r="H57" s="143"/>
      <c r="I57" s="57" t="s">
        <v>593</v>
      </c>
      <c r="J57" s="65"/>
      <c r="L57" s="64"/>
      <c r="N57" s="52"/>
    </row>
    <row r="58" spans="1:14" ht="17.25" customHeight="1" x14ac:dyDescent="0.25">
      <c r="A58" s="62" t="s">
        <v>563</v>
      </c>
      <c r="B58" s="82" t="s">
        <v>592</v>
      </c>
      <c r="C58" s="60">
        <v>2021</v>
      </c>
      <c r="D58" s="60">
        <v>0.4</v>
      </c>
      <c r="E58" s="60">
        <v>75</v>
      </c>
      <c r="F58" s="60">
        <v>50</v>
      </c>
      <c r="G58" s="59">
        <v>27.682300000000001</v>
      </c>
      <c r="H58" s="143"/>
      <c r="I58" s="57" t="s">
        <v>591</v>
      </c>
      <c r="J58" s="65"/>
      <c r="L58" s="64"/>
      <c r="N58" s="52"/>
    </row>
    <row r="59" spans="1:14" ht="17.25" customHeight="1" x14ac:dyDescent="0.25">
      <c r="A59" s="62" t="s">
        <v>563</v>
      </c>
      <c r="B59" s="82" t="s">
        <v>130</v>
      </c>
      <c r="C59" s="60">
        <v>2021</v>
      </c>
      <c r="D59" s="60">
        <v>0.4</v>
      </c>
      <c r="E59" s="60">
        <v>85</v>
      </c>
      <c r="F59" s="60">
        <v>15</v>
      </c>
      <c r="G59" s="59">
        <v>154.65600000000001</v>
      </c>
      <c r="H59" s="143"/>
      <c r="I59" s="57" t="s">
        <v>590</v>
      </c>
      <c r="J59" s="65"/>
      <c r="L59" s="64"/>
      <c r="N59" s="52"/>
    </row>
    <row r="60" spans="1:14" ht="17.25" customHeight="1" x14ac:dyDescent="0.25">
      <c r="A60" s="62" t="s">
        <v>563</v>
      </c>
      <c r="B60" s="82" t="s">
        <v>589</v>
      </c>
      <c r="C60" s="60">
        <v>2021</v>
      </c>
      <c r="D60" s="60">
        <v>0.4</v>
      </c>
      <c r="E60" s="60">
        <v>71</v>
      </c>
      <c r="F60" s="60">
        <v>14</v>
      </c>
      <c r="G60" s="59">
        <v>34.4816</v>
      </c>
      <c r="H60" s="143"/>
      <c r="I60" s="57" t="s">
        <v>588</v>
      </c>
      <c r="J60" s="65"/>
      <c r="L60" s="64"/>
      <c r="N60" s="52"/>
    </row>
    <row r="61" spans="1:14" ht="17.25" customHeight="1" x14ac:dyDescent="0.25">
      <c r="A61" s="62" t="s">
        <v>563</v>
      </c>
      <c r="B61" s="82" t="s">
        <v>587</v>
      </c>
      <c r="C61" s="60">
        <v>2021</v>
      </c>
      <c r="D61" s="60">
        <v>0.4</v>
      </c>
      <c r="E61" s="60">
        <v>72</v>
      </c>
      <c r="F61" s="60">
        <v>14</v>
      </c>
      <c r="G61" s="59">
        <v>12.555999999999999</v>
      </c>
      <c r="H61" s="143"/>
      <c r="I61" s="57" t="s">
        <v>586</v>
      </c>
      <c r="J61" s="65"/>
      <c r="L61" s="64"/>
      <c r="N61" s="52"/>
    </row>
    <row r="62" spans="1:14" ht="17.25" customHeight="1" x14ac:dyDescent="0.25">
      <c r="A62" s="62" t="s">
        <v>564</v>
      </c>
      <c r="B62" s="82" t="s">
        <v>585</v>
      </c>
      <c r="C62" s="60">
        <v>2021</v>
      </c>
      <c r="D62" s="60">
        <v>0.4</v>
      </c>
      <c r="E62" s="60">
        <v>367</v>
      </c>
      <c r="F62" s="60">
        <v>60</v>
      </c>
      <c r="G62" s="59">
        <v>244.22300000000001</v>
      </c>
      <c r="H62" s="143"/>
      <c r="I62" s="57" t="s">
        <v>584</v>
      </c>
      <c r="J62" s="65"/>
      <c r="L62" s="64"/>
      <c r="N62" s="52"/>
    </row>
    <row r="63" spans="1:14" ht="17.25" customHeight="1" x14ac:dyDescent="0.25">
      <c r="A63" s="62" t="s">
        <v>564</v>
      </c>
      <c r="B63" s="82" t="s">
        <v>583</v>
      </c>
      <c r="C63" s="60">
        <v>2021</v>
      </c>
      <c r="D63" s="60">
        <v>0.4</v>
      </c>
      <c r="E63" s="60">
        <v>220</v>
      </c>
      <c r="F63" s="60">
        <v>45</v>
      </c>
      <c r="G63" s="59">
        <v>71.641000000000005</v>
      </c>
      <c r="H63" s="143"/>
      <c r="I63" s="57" t="s">
        <v>582</v>
      </c>
      <c r="J63" s="65"/>
      <c r="L63" s="64"/>
      <c r="N63" s="52"/>
    </row>
    <row r="64" spans="1:14" ht="17.25" customHeight="1" x14ac:dyDescent="0.25">
      <c r="A64" s="62" t="s">
        <v>563</v>
      </c>
      <c r="B64" s="82" t="s">
        <v>150</v>
      </c>
      <c r="C64" s="60">
        <v>2021</v>
      </c>
      <c r="D64" s="60">
        <v>0.4</v>
      </c>
      <c r="E64" s="60">
        <v>178</v>
      </c>
      <c r="F64" s="60">
        <v>15</v>
      </c>
      <c r="G64" s="59">
        <v>72.457300000000004</v>
      </c>
      <c r="H64" s="143"/>
      <c r="I64" s="57" t="s">
        <v>581</v>
      </c>
      <c r="J64" s="65"/>
      <c r="L64" s="64"/>
      <c r="N64" s="52"/>
    </row>
    <row r="65" spans="1:14" ht="17.25" customHeight="1" x14ac:dyDescent="0.25">
      <c r="A65" s="62" t="s">
        <v>565</v>
      </c>
      <c r="B65" s="82" t="s">
        <v>514</v>
      </c>
      <c r="C65" s="60">
        <v>2021</v>
      </c>
      <c r="D65" s="60">
        <v>0.4</v>
      </c>
      <c r="E65" s="60">
        <v>156</v>
      </c>
      <c r="F65" s="60">
        <v>100</v>
      </c>
      <c r="G65" s="59">
        <v>580.70000000000005</v>
      </c>
      <c r="H65" s="143"/>
      <c r="I65" s="57" t="s">
        <v>361</v>
      </c>
      <c r="J65" s="65"/>
      <c r="L65" s="64"/>
      <c r="N65" s="52"/>
    </row>
    <row r="66" spans="1:14" ht="17.25" customHeight="1" x14ac:dyDescent="0.25">
      <c r="A66" s="62" t="s">
        <v>563</v>
      </c>
      <c r="B66" s="82" t="s">
        <v>580</v>
      </c>
      <c r="C66" s="60">
        <v>2021</v>
      </c>
      <c r="D66" s="60">
        <v>0.4</v>
      </c>
      <c r="E66" s="45">
        <v>264</v>
      </c>
      <c r="F66" s="60">
        <v>30</v>
      </c>
      <c r="G66" s="59">
        <v>140.744</v>
      </c>
      <c r="H66" s="143"/>
      <c r="I66" s="57" t="s">
        <v>579</v>
      </c>
      <c r="J66" s="65"/>
      <c r="L66" s="64"/>
      <c r="N66" s="52"/>
    </row>
    <row r="67" spans="1:14" ht="17.25" customHeight="1" x14ac:dyDescent="0.25">
      <c r="A67" s="62" t="s">
        <v>564</v>
      </c>
      <c r="B67" s="82" t="s">
        <v>578</v>
      </c>
      <c r="C67" s="60">
        <v>2021</v>
      </c>
      <c r="D67" s="60">
        <v>0.4</v>
      </c>
      <c r="E67" s="45">
        <v>145</v>
      </c>
      <c r="F67" s="60">
        <v>60</v>
      </c>
      <c r="G67" s="59">
        <v>155.47999999999999</v>
      </c>
      <c r="H67" s="143"/>
      <c r="I67" s="57" t="s">
        <v>577</v>
      </c>
      <c r="J67" s="65"/>
      <c r="L67" s="64"/>
      <c r="N67" s="52"/>
    </row>
    <row r="68" spans="1:14" ht="17.25" customHeight="1" x14ac:dyDescent="0.25">
      <c r="A68" s="62" t="s">
        <v>564</v>
      </c>
      <c r="B68" s="82" t="s">
        <v>405</v>
      </c>
      <c r="C68" s="60">
        <v>2021</v>
      </c>
      <c r="D68" s="60">
        <v>0.4</v>
      </c>
      <c r="E68" s="45">
        <v>95</v>
      </c>
      <c r="F68" s="60">
        <v>70</v>
      </c>
      <c r="G68" s="59">
        <v>65.470399999999998</v>
      </c>
      <c r="H68" s="143"/>
      <c r="I68" s="57" t="s">
        <v>404</v>
      </c>
      <c r="J68" s="65"/>
      <c r="L68" s="64"/>
      <c r="N68" s="52"/>
    </row>
    <row r="69" spans="1:14" ht="17.25" customHeight="1" x14ac:dyDescent="0.25">
      <c r="A69" s="62" t="s">
        <v>563</v>
      </c>
      <c r="B69" s="82" t="s">
        <v>576</v>
      </c>
      <c r="C69" s="60">
        <v>2021</v>
      </c>
      <c r="D69" s="60">
        <v>0.4</v>
      </c>
      <c r="E69" s="45">
        <v>284</v>
      </c>
      <c r="F69" s="60">
        <v>25</v>
      </c>
      <c r="G69" s="59">
        <v>206.99700000000001</v>
      </c>
      <c r="H69" s="143"/>
      <c r="I69" s="57" t="s">
        <v>575</v>
      </c>
      <c r="J69" s="65"/>
      <c r="L69" s="64"/>
      <c r="N69" s="52"/>
    </row>
    <row r="70" spans="1:14" ht="17.25" customHeight="1" x14ac:dyDescent="0.25">
      <c r="A70" s="62" t="s">
        <v>564</v>
      </c>
      <c r="B70" s="82" t="s">
        <v>574</v>
      </c>
      <c r="C70" s="60">
        <v>2021</v>
      </c>
      <c r="D70" s="60">
        <v>0.4</v>
      </c>
      <c r="E70" s="45">
        <v>409</v>
      </c>
      <c r="F70" s="60">
        <v>5</v>
      </c>
      <c r="G70" s="59">
        <v>442.49599999999998</v>
      </c>
      <c r="H70" s="143"/>
      <c r="I70" s="57" t="s">
        <v>573</v>
      </c>
      <c r="J70" s="65"/>
      <c r="L70" s="64"/>
      <c r="N70" s="52"/>
    </row>
    <row r="71" spans="1:14" ht="17.25" customHeight="1" x14ac:dyDescent="0.25">
      <c r="A71" s="62" t="s">
        <v>563</v>
      </c>
      <c r="B71" s="83" t="s">
        <v>121</v>
      </c>
      <c r="C71" s="63">
        <v>2022</v>
      </c>
      <c r="D71" s="60">
        <v>0.4</v>
      </c>
      <c r="E71" s="45">
        <v>69</v>
      </c>
      <c r="F71" s="60">
        <v>15</v>
      </c>
      <c r="G71" s="59">
        <v>13.256209999999999</v>
      </c>
      <c r="H71" s="143"/>
      <c r="I71" s="57"/>
      <c r="J71" s="58"/>
      <c r="L71" s="57"/>
      <c r="N71" s="52"/>
    </row>
    <row r="72" spans="1:14" ht="17.25" customHeight="1" x14ac:dyDescent="0.25">
      <c r="A72" s="62" t="s">
        <v>563</v>
      </c>
      <c r="B72" s="83" t="s">
        <v>120</v>
      </c>
      <c r="C72" s="60">
        <v>2022</v>
      </c>
      <c r="D72" s="60">
        <v>0.4</v>
      </c>
      <c r="E72" s="45">
        <v>115</v>
      </c>
      <c r="F72" s="60">
        <v>15</v>
      </c>
      <c r="G72" s="59">
        <v>138.34119000000001</v>
      </c>
      <c r="H72" s="143"/>
      <c r="I72" s="57"/>
      <c r="J72" s="58"/>
      <c r="L72" s="57"/>
      <c r="N72" s="52"/>
    </row>
    <row r="73" spans="1:14" ht="17.25" customHeight="1" x14ac:dyDescent="0.25">
      <c r="A73" s="62" t="s">
        <v>563</v>
      </c>
      <c r="B73" s="83" t="s">
        <v>684</v>
      </c>
      <c r="C73" s="60">
        <v>2022</v>
      </c>
      <c r="D73" s="60">
        <v>0.4</v>
      </c>
      <c r="E73" s="337">
        <v>122</v>
      </c>
      <c r="F73" s="340">
        <v>9</v>
      </c>
      <c r="G73" s="59">
        <v>36.312186666666669</v>
      </c>
      <c r="H73" s="143"/>
      <c r="I73" s="57"/>
      <c r="J73" s="58"/>
      <c r="L73" s="57"/>
      <c r="N73" s="52"/>
    </row>
    <row r="74" spans="1:14" ht="17.25" customHeight="1" x14ac:dyDescent="0.25">
      <c r="A74" s="62" t="s">
        <v>563</v>
      </c>
      <c r="B74" s="83" t="s">
        <v>684</v>
      </c>
      <c r="C74" s="60">
        <v>2022</v>
      </c>
      <c r="D74" s="60">
        <v>0.4</v>
      </c>
      <c r="E74" s="338"/>
      <c r="F74" s="341"/>
      <c r="G74" s="59">
        <v>36.312186666666669</v>
      </c>
      <c r="H74" s="143"/>
      <c r="I74" s="57"/>
      <c r="J74" s="58"/>
      <c r="L74" s="57"/>
      <c r="N74" s="52"/>
    </row>
    <row r="75" spans="1:14" ht="17.25" customHeight="1" x14ac:dyDescent="0.25">
      <c r="A75" s="62" t="s">
        <v>563</v>
      </c>
      <c r="B75" s="83" t="s">
        <v>684</v>
      </c>
      <c r="C75" s="60">
        <v>2022</v>
      </c>
      <c r="D75" s="60">
        <v>0.4</v>
      </c>
      <c r="E75" s="339"/>
      <c r="F75" s="342"/>
      <c r="G75" s="59">
        <v>36.312186666666669</v>
      </c>
      <c r="H75" s="143"/>
      <c r="I75" s="57"/>
      <c r="J75" s="58"/>
      <c r="L75" s="57"/>
      <c r="N75" s="52"/>
    </row>
    <row r="76" spans="1:14" ht="17.25" customHeight="1" x14ac:dyDescent="0.25">
      <c r="A76" s="62" t="s">
        <v>563</v>
      </c>
      <c r="B76" s="83" t="s">
        <v>571</v>
      </c>
      <c r="C76" s="60">
        <v>2022</v>
      </c>
      <c r="D76" s="60">
        <v>0.4</v>
      </c>
      <c r="E76" s="60">
        <v>191</v>
      </c>
      <c r="F76" s="60">
        <v>15</v>
      </c>
      <c r="G76" s="59">
        <v>128.04181</v>
      </c>
      <c r="H76" s="143"/>
      <c r="I76" s="57"/>
      <c r="J76" s="58"/>
      <c r="L76" s="57"/>
      <c r="N76" s="52"/>
    </row>
    <row r="77" spans="1:14" ht="17.25" customHeight="1" x14ac:dyDescent="0.25">
      <c r="A77" s="62" t="s">
        <v>564</v>
      </c>
      <c r="B77" s="83" t="s">
        <v>395</v>
      </c>
      <c r="C77" s="60">
        <v>2022</v>
      </c>
      <c r="D77" s="60">
        <v>0.4</v>
      </c>
      <c r="E77" s="60">
        <v>236</v>
      </c>
      <c r="F77" s="60">
        <v>100</v>
      </c>
      <c r="G77" s="59">
        <v>32.056235999999998</v>
      </c>
      <c r="H77" s="143"/>
      <c r="I77" s="57"/>
      <c r="J77" s="58"/>
      <c r="L77" s="57"/>
      <c r="N77" s="52"/>
    </row>
    <row r="78" spans="1:14" ht="17.25" customHeight="1" x14ac:dyDescent="0.25">
      <c r="A78" s="62" t="s">
        <v>564</v>
      </c>
      <c r="B78" s="83" t="s">
        <v>395</v>
      </c>
      <c r="C78" s="60">
        <v>2022</v>
      </c>
      <c r="D78" s="60">
        <v>0.4</v>
      </c>
      <c r="E78" s="60"/>
      <c r="F78" s="60"/>
      <c r="G78" s="59">
        <v>32.056235999999998</v>
      </c>
      <c r="H78" s="143"/>
      <c r="I78" s="57"/>
      <c r="J78" s="58"/>
      <c r="L78" s="57"/>
      <c r="N78" s="52"/>
    </row>
    <row r="79" spans="1:14" ht="17.25" customHeight="1" x14ac:dyDescent="0.25">
      <c r="A79" s="62" t="s">
        <v>563</v>
      </c>
      <c r="B79" s="83" t="s">
        <v>119</v>
      </c>
      <c r="C79" s="60">
        <v>2022</v>
      </c>
      <c r="D79" s="60">
        <v>0.4</v>
      </c>
      <c r="E79" s="60">
        <v>68</v>
      </c>
      <c r="F79" s="60">
        <v>22</v>
      </c>
      <c r="G79" s="59">
        <v>2.2922640000000003</v>
      </c>
      <c r="H79" s="143"/>
      <c r="I79" s="57"/>
      <c r="J79" s="58"/>
      <c r="L79" s="57"/>
      <c r="N79" s="52"/>
    </row>
    <row r="80" spans="1:14" ht="17.25" customHeight="1" x14ac:dyDescent="0.25">
      <c r="A80" s="62" t="s">
        <v>563</v>
      </c>
      <c r="B80" s="83" t="s">
        <v>119</v>
      </c>
      <c r="C80" s="60">
        <v>2022</v>
      </c>
      <c r="D80" s="60">
        <v>0.4</v>
      </c>
      <c r="E80" s="60"/>
      <c r="F80" s="60"/>
      <c r="G80" s="59">
        <v>2.2922640000000003</v>
      </c>
      <c r="H80" s="143"/>
      <c r="I80" s="57"/>
      <c r="J80" s="58"/>
      <c r="L80" s="57"/>
      <c r="N80" s="52"/>
    </row>
    <row r="81" spans="1:14" ht="17.25" customHeight="1" x14ac:dyDescent="0.25">
      <c r="A81" s="62" t="s">
        <v>563</v>
      </c>
      <c r="B81" s="83" t="s">
        <v>118</v>
      </c>
      <c r="C81" s="60">
        <v>2022</v>
      </c>
      <c r="D81" s="60">
        <v>0.4</v>
      </c>
      <c r="E81" s="60"/>
      <c r="F81" s="60"/>
      <c r="G81" s="59">
        <v>2.2922640000000003</v>
      </c>
      <c r="H81" s="143"/>
      <c r="I81" s="57"/>
      <c r="J81" s="58"/>
      <c r="L81" s="57"/>
      <c r="N81" s="52"/>
    </row>
    <row r="82" spans="1:14" ht="17.25" customHeight="1" x14ac:dyDescent="0.25">
      <c r="A82" s="62" t="s">
        <v>563</v>
      </c>
      <c r="B82" s="83" t="s">
        <v>117</v>
      </c>
      <c r="C82" s="60">
        <v>2022</v>
      </c>
      <c r="D82" s="60">
        <v>0.4</v>
      </c>
      <c r="E82" s="60"/>
      <c r="F82" s="60"/>
      <c r="G82" s="59">
        <v>2.2922640000000003</v>
      </c>
      <c r="H82" s="143"/>
      <c r="I82" s="57"/>
      <c r="J82" s="58"/>
      <c r="L82" s="57"/>
      <c r="N82" s="52"/>
    </row>
    <row r="83" spans="1:14" ht="17.25" customHeight="1" x14ac:dyDescent="0.25">
      <c r="A83" s="62" t="s">
        <v>563</v>
      </c>
      <c r="B83" s="83" t="s">
        <v>393</v>
      </c>
      <c r="C83" s="60">
        <v>2022</v>
      </c>
      <c r="D83" s="60">
        <v>0.4</v>
      </c>
      <c r="E83" s="60"/>
      <c r="F83" s="60"/>
      <c r="G83" s="59">
        <v>2.2922640000000003</v>
      </c>
      <c r="H83" s="143"/>
      <c r="I83" s="57"/>
      <c r="J83" s="58"/>
      <c r="L83" s="57"/>
      <c r="N83" s="52"/>
    </row>
    <row r="84" spans="1:14" ht="17.25" customHeight="1" x14ac:dyDescent="0.25">
      <c r="A84" s="62" t="s">
        <v>563</v>
      </c>
      <c r="B84" s="83" t="s">
        <v>391</v>
      </c>
      <c r="C84" s="60">
        <v>2022</v>
      </c>
      <c r="D84" s="60">
        <v>0.4</v>
      </c>
      <c r="E84" s="45">
        <v>41</v>
      </c>
      <c r="F84" s="60">
        <v>5</v>
      </c>
      <c r="G84" s="59">
        <v>91.919070000000005</v>
      </c>
      <c r="H84" s="143"/>
      <c r="I84" s="57"/>
      <c r="J84" s="58"/>
      <c r="L84" s="57"/>
      <c r="N84" s="52"/>
    </row>
    <row r="85" spans="1:14" ht="17.25" customHeight="1" x14ac:dyDescent="0.25">
      <c r="A85" s="62" t="s">
        <v>685</v>
      </c>
      <c r="B85" s="83" t="s">
        <v>570</v>
      </c>
      <c r="C85" s="60">
        <v>2022</v>
      </c>
      <c r="D85" s="60">
        <v>0.4</v>
      </c>
      <c r="E85" s="45">
        <v>448</v>
      </c>
      <c r="F85" s="60">
        <v>30</v>
      </c>
      <c r="G85" s="59">
        <v>648.02440999999999</v>
      </c>
      <c r="H85" s="143"/>
      <c r="I85" s="57"/>
      <c r="J85" s="58"/>
      <c r="L85" s="57"/>
      <c r="N85" s="52"/>
    </row>
    <row r="86" spans="1:14" ht="17.25" customHeight="1" x14ac:dyDescent="0.25">
      <c r="A86" s="62" t="s">
        <v>685</v>
      </c>
      <c r="B86" s="83" t="s">
        <v>115</v>
      </c>
      <c r="C86" s="60">
        <v>2022</v>
      </c>
      <c r="D86" s="60">
        <v>0.4</v>
      </c>
      <c r="E86" s="45"/>
      <c r="F86" s="60"/>
      <c r="G86" s="59">
        <v>648.02440999999999</v>
      </c>
      <c r="H86" s="143"/>
      <c r="I86" s="57"/>
      <c r="J86" s="58"/>
      <c r="L86" s="57"/>
      <c r="N86" s="52"/>
    </row>
    <row r="87" spans="1:14" ht="17.25" customHeight="1" x14ac:dyDescent="0.25">
      <c r="A87" s="62" t="s">
        <v>563</v>
      </c>
      <c r="B87" s="83" t="s">
        <v>114</v>
      </c>
      <c r="C87" s="60">
        <v>2022</v>
      </c>
      <c r="D87" s="45">
        <v>0.4</v>
      </c>
      <c r="E87" s="45">
        <v>123</v>
      </c>
      <c r="F87" s="60">
        <v>15</v>
      </c>
      <c r="G87" s="59">
        <v>56.564900000000002</v>
      </c>
      <c r="H87" s="143"/>
      <c r="I87" s="57"/>
      <c r="J87" s="58"/>
      <c r="L87" s="57"/>
      <c r="N87" s="52"/>
    </row>
    <row r="88" spans="1:14" ht="17.25" customHeight="1" x14ac:dyDescent="0.25">
      <c r="A88" s="62" t="s">
        <v>563</v>
      </c>
      <c r="B88" s="83" t="s">
        <v>113</v>
      </c>
      <c r="C88" s="60">
        <v>2022</v>
      </c>
      <c r="D88" s="45">
        <v>0.4</v>
      </c>
      <c r="E88" s="45">
        <v>46</v>
      </c>
      <c r="F88" s="60">
        <v>15</v>
      </c>
      <c r="G88" s="59">
        <v>8.4797000000000011</v>
      </c>
      <c r="H88" s="143"/>
      <c r="I88" s="57"/>
      <c r="J88" s="58"/>
      <c r="L88" s="57"/>
      <c r="N88" s="52"/>
    </row>
    <row r="89" spans="1:14" ht="17.25" customHeight="1" x14ac:dyDescent="0.25">
      <c r="A89" s="62" t="s">
        <v>564</v>
      </c>
      <c r="B89" s="83" t="s">
        <v>112</v>
      </c>
      <c r="C89" s="60">
        <v>2022</v>
      </c>
      <c r="D89" s="45">
        <v>0.4</v>
      </c>
      <c r="E89" s="45">
        <v>371</v>
      </c>
      <c r="F89" s="60">
        <v>15</v>
      </c>
      <c r="G89" s="59">
        <v>581.23789999999997</v>
      </c>
      <c r="H89" s="143"/>
      <c r="I89" s="57"/>
      <c r="J89" s="58"/>
      <c r="L89" s="57"/>
      <c r="N89" s="52"/>
    </row>
    <row r="90" spans="1:14" ht="17.25" customHeight="1" x14ac:dyDescent="0.25">
      <c r="A90" s="62" t="s">
        <v>563</v>
      </c>
      <c r="B90" s="83" t="s">
        <v>569</v>
      </c>
      <c r="C90" s="60">
        <v>2022</v>
      </c>
      <c r="D90" s="45">
        <v>0.4</v>
      </c>
      <c r="E90" s="45">
        <v>42</v>
      </c>
      <c r="F90" s="60">
        <v>30</v>
      </c>
      <c r="G90" s="59">
        <v>45.409845000000004</v>
      </c>
      <c r="H90" s="143"/>
      <c r="I90" s="57"/>
      <c r="J90" s="58"/>
      <c r="L90" s="57"/>
      <c r="N90" s="52"/>
    </row>
    <row r="91" spans="1:14" ht="17.25" customHeight="1" x14ac:dyDescent="0.25">
      <c r="A91" s="62" t="s">
        <v>563</v>
      </c>
      <c r="B91" s="83" t="s">
        <v>569</v>
      </c>
      <c r="C91" s="60">
        <v>2022</v>
      </c>
      <c r="D91" s="45">
        <v>0.4</v>
      </c>
      <c r="E91" s="45"/>
      <c r="F91" s="60"/>
      <c r="G91" s="59">
        <v>45.409845000000004</v>
      </c>
      <c r="H91" s="143"/>
      <c r="I91" s="57"/>
      <c r="J91" s="58"/>
      <c r="L91" s="57"/>
      <c r="N91" s="52"/>
    </row>
    <row r="92" spans="1:14" ht="17.25" customHeight="1" x14ac:dyDescent="0.25">
      <c r="A92" s="62" t="s">
        <v>563</v>
      </c>
      <c r="B92" s="83" t="s">
        <v>111</v>
      </c>
      <c r="C92" s="60">
        <v>2022</v>
      </c>
      <c r="D92" s="45">
        <v>0.4</v>
      </c>
      <c r="E92" s="45">
        <v>56</v>
      </c>
      <c r="F92" s="60">
        <v>15</v>
      </c>
      <c r="G92" s="59">
        <v>11.063030000000001</v>
      </c>
      <c r="H92" s="143"/>
      <c r="I92" s="57"/>
      <c r="J92" s="58"/>
      <c r="L92" s="57"/>
      <c r="N92" s="52"/>
    </row>
    <row r="93" spans="1:14" ht="17.25" customHeight="1" x14ac:dyDescent="0.25">
      <c r="A93" s="62" t="s">
        <v>563</v>
      </c>
      <c r="B93" s="83" t="s">
        <v>110</v>
      </c>
      <c r="C93" s="60">
        <v>2022</v>
      </c>
      <c r="D93" s="45">
        <v>0.4</v>
      </c>
      <c r="E93" s="45">
        <v>147</v>
      </c>
      <c r="F93" s="60">
        <v>15</v>
      </c>
      <c r="G93" s="59">
        <v>258.78611000000001</v>
      </c>
      <c r="H93" s="143"/>
      <c r="I93" s="57"/>
      <c r="J93" s="58"/>
      <c r="L93" s="57"/>
      <c r="N93" s="52"/>
    </row>
    <row r="94" spans="1:14" ht="17.25" customHeight="1" x14ac:dyDescent="0.25">
      <c r="A94" s="62" t="s">
        <v>563</v>
      </c>
      <c r="B94" s="83" t="s">
        <v>109</v>
      </c>
      <c r="C94" s="60">
        <v>2022</v>
      </c>
      <c r="D94" s="45">
        <v>0.4</v>
      </c>
      <c r="E94" s="45">
        <v>100</v>
      </c>
      <c r="F94" s="60">
        <v>15</v>
      </c>
      <c r="G94" s="59">
        <v>22.181999999999999</v>
      </c>
      <c r="H94" s="143"/>
      <c r="I94" s="57"/>
      <c r="J94" s="58"/>
      <c r="L94" s="57"/>
      <c r="N94" s="52"/>
    </row>
    <row r="95" spans="1:14" ht="17.25" customHeight="1" x14ac:dyDescent="0.25">
      <c r="A95" s="62" t="s">
        <v>563</v>
      </c>
      <c r="B95" s="83" t="s">
        <v>394</v>
      </c>
      <c r="C95" s="60">
        <v>2022</v>
      </c>
      <c r="D95" s="60">
        <v>0.4</v>
      </c>
      <c r="E95" s="60">
        <v>57.5</v>
      </c>
      <c r="F95" s="60">
        <v>5</v>
      </c>
      <c r="G95" s="59">
        <v>124.84019000000001</v>
      </c>
      <c r="H95" s="143"/>
      <c r="I95" s="57"/>
      <c r="J95" s="58"/>
      <c r="L95" s="57"/>
      <c r="N95" s="52"/>
    </row>
    <row r="96" spans="1:14" ht="17.25" customHeight="1" x14ac:dyDescent="0.25">
      <c r="A96" s="62" t="s">
        <v>563</v>
      </c>
      <c r="B96" s="83" t="s">
        <v>568</v>
      </c>
      <c r="C96" s="60">
        <v>2022</v>
      </c>
      <c r="D96" s="60">
        <v>0.4</v>
      </c>
      <c r="E96" s="60">
        <v>104</v>
      </c>
      <c r="F96" s="60">
        <v>30</v>
      </c>
      <c r="G96" s="59">
        <v>35.048221666666663</v>
      </c>
      <c r="H96" s="143"/>
      <c r="I96" s="57"/>
      <c r="J96" s="58"/>
      <c r="L96" s="57"/>
      <c r="N96" s="52"/>
    </row>
    <row r="97" spans="1:14" ht="17.25" customHeight="1" x14ac:dyDescent="0.25">
      <c r="A97" s="62" t="s">
        <v>563</v>
      </c>
      <c r="B97" s="83" t="s">
        <v>568</v>
      </c>
      <c r="C97" s="60">
        <v>2022</v>
      </c>
      <c r="D97" s="60">
        <v>0.4</v>
      </c>
      <c r="E97" s="60"/>
      <c r="F97" s="60"/>
      <c r="G97" s="59">
        <v>35.048221666666663</v>
      </c>
      <c r="H97" s="143"/>
      <c r="I97" s="57"/>
      <c r="J97" s="58"/>
      <c r="L97" s="57"/>
      <c r="N97" s="52"/>
    </row>
    <row r="98" spans="1:14" ht="17.25" customHeight="1" x14ac:dyDescent="0.25">
      <c r="A98" s="62" t="s">
        <v>563</v>
      </c>
      <c r="B98" s="83" t="s">
        <v>568</v>
      </c>
      <c r="C98" s="60">
        <v>2022</v>
      </c>
      <c r="D98" s="60">
        <v>0.4</v>
      </c>
      <c r="E98" s="60"/>
      <c r="F98" s="60"/>
      <c r="G98" s="59">
        <v>35.048221666666663</v>
      </c>
      <c r="H98" s="143"/>
      <c r="I98" s="57"/>
      <c r="J98" s="58"/>
      <c r="L98" s="57"/>
      <c r="N98" s="52"/>
    </row>
    <row r="99" spans="1:14" ht="17.25" customHeight="1" x14ac:dyDescent="0.25">
      <c r="A99" s="62" t="s">
        <v>563</v>
      </c>
      <c r="B99" s="83" t="s">
        <v>568</v>
      </c>
      <c r="C99" s="60">
        <v>2022</v>
      </c>
      <c r="D99" s="60">
        <v>0.4</v>
      </c>
      <c r="E99" s="60"/>
      <c r="F99" s="60"/>
      <c r="G99" s="59">
        <v>35.048221666666663</v>
      </c>
      <c r="H99" s="143"/>
      <c r="I99" s="57"/>
      <c r="J99" s="58"/>
      <c r="L99" s="57"/>
      <c r="N99" s="52"/>
    </row>
    <row r="100" spans="1:14" ht="17.25" customHeight="1" x14ac:dyDescent="0.25">
      <c r="A100" s="62" t="s">
        <v>563</v>
      </c>
      <c r="B100" s="83" t="s">
        <v>568</v>
      </c>
      <c r="C100" s="60">
        <v>2022</v>
      </c>
      <c r="D100" s="60">
        <v>0.4</v>
      </c>
      <c r="E100" s="60"/>
      <c r="F100" s="60"/>
      <c r="G100" s="59">
        <v>35.048221666666663</v>
      </c>
      <c r="H100" s="143"/>
      <c r="I100" s="57"/>
      <c r="J100" s="58"/>
      <c r="L100" s="57"/>
      <c r="N100" s="52"/>
    </row>
    <row r="101" spans="1:14" ht="17.25" customHeight="1" x14ac:dyDescent="0.25">
      <c r="A101" s="62" t="s">
        <v>563</v>
      </c>
      <c r="B101" s="83" t="s">
        <v>568</v>
      </c>
      <c r="C101" s="60">
        <v>2022</v>
      </c>
      <c r="D101" s="60">
        <v>0.4</v>
      </c>
      <c r="E101" s="60"/>
      <c r="F101" s="60"/>
      <c r="G101" s="59">
        <v>35.048221666666663</v>
      </c>
      <c r="H101" s="143"/>
      <c r="I101" s="57"/>
      <c r="J101" s="58"/>
      <c r="L101" s="57"/>
      <c r="N101" s="52"/>
    </row>
    <row r="102" spans="1:14" ht="17.25" customHeight="1" x14ac:dyDescent="0.25">
      <c r="A102" s="62" t="s">
        <v>563</v>
      </c>
      <c r="B102" s="83" t="s">
        <v>108</v>
      </c>
      <c r="C102" s="60">
        <v>2022</v>
      </c>
      <c r="D102" s="60">
        <v>0.4</v>
      </c>
      <c r="E102" s="60">
        <v>79</v>
      </c>
      <c r="F102" s="60">
        <v>15</v>
      </c>
      <c r="G102" s="59">
        <v>145.10855000000001</v>
      </c>
      <c r="H102" s="143"/>
      <c r="I102" s="57"/>
      <c r="J102" s="58"/>
      <c r="L102" s="57"/>
      <c r="N102" s="52"/>
    </row>
    <row r="103" spans="1:14" ht="17.25" customHeight="1" x14ac:dyDescent="0.25">
      <c r="A103" s="62" t="s">
        <v>564</v>
      </c>
      <c r="B103" s="83" t="s">
        <v>107</v>
      </c>
      <c r="C103" s="60">
        <v>2022</v>
      </c>
      <c r="D103" s="60">
        <v>0.4</v>
      </c>
      <c r="E103" s="60">
        <v>552</v>
      </c>
      <c r="F103" s="60">
        <v>60</v>
      </c>
      <c r="G103" s="59">
        <v>154.34442249999998</v>
      </c>
      <c r="H103" s="143"/>
      <c r="I103" s="57"/>
      <c r="J103" s="58"/>
      <c r="L103" s="57"/>
      <c r="N103" s="52"/>
    </row>
    <row r="104" spans="1:14" ht="17.25" customHeight="1" x14ac:dyDescent="0.25">
      <c r="A104" s="62" t="s">
        <v>564</v>
      </c>
      <c r="B104" s="83" t="s">
        <v>106</v>
      </c>
      <c r="C104" s="60">
        <v>2022</v>
      </c>
      <c r="D104" s="60">
        <v>0.4</v>
      </c>
      <c r="E104" s="60"/>
      <c r="F104" s="60"/>
      <c r="G104" s="59">
        <v>154.34442249999998</v>
      </c>
      <c r="H104" s="143"/>
      <c r="I104" s="57"/>
      <c r="J104" s="58"/>
      <c r="L104" s="57"/>
      <c r="N104" s="52"/>
    </row>
    <row r="105" spans="1:14" ht="17.25" customHeight="1" x14ac:dyDescent="0.25">
      <c r="A105" s="62" t="s">
        <v>564</v>
      </c>
      <c r="B105" s="83" t="s">
        <v>105</v>
      </c>
      <c r="C105" s="60">
        <v>2022</v>
      </c>
      <c r="D105" s="60">
        <v>0.4</v>
      </c>
      <c r="E105" s="60"/>
      <c r="F105" s="60"/>
      <c r="G105" s="59">
        <v>154.34442249999998</v>
      </c>
      <c r="H105" s="143"/>
      <c r="I105" s="57"/>
      <c r="J105" s="58"/>
      <c r="L105" s="57"/>
      <c r="N105" s="52"/>
    </row>
    <row r="106" spans="1:14" ht="17.25" customHeight="1" x14ac:dyDescent="0.25">
      <c r="A106" s="62" t="s">
        <v>564</v>
      </c>
      <c r="B106" s="83" t="s">
        <v>104</v>
      </c>
      <c r="C106" s="60">
        <v>2022</v>
      </c>
      <c r="D106" s="60">
        <v>0.4</v>
      </c>
      <c r="E106" s="60"/>
      <c r="F106" s="60"/>
      <c r="G106" s="59">
        <v>154.34442249999998</v>
      </c>
      <c r="H106" s="143"/>
      <c r="I106" s="57"/>
      <c r="J106" s="58"/>
      <c r="L106" s="57"/>
      <c r="N106" s="52"/>
    </row>
    <row r="107" spans="1:14" ht="17.25" customHeight="1" x14ac:dyDescent="0.25">
      <c r="A107" s="84" t="s">
        <v>563</v>
      </c>
      <c r="B107" s="83" t="s">
        <v>103</v>
      </c>
      <c r="C107" s="45">
        <v>2022</v>
      </c>
      <c r="D107" s="45">
        <v>0.4</v>
      </c>
      <c r="E107" s="45">
        <v>45</v>
      </c>
      <c r="F107" s="45">
        <v>15</v>
      </c>
      <c r="G107" s="53">
        <v>28.080620000000003</v>
      </c>
      <c r="H107" s="143"/>
      <c r="I107" s="57"/>
      <c r="J107" s="58"/>
      <c r="L107" s="57"/>
      <c r="N107" s="52"/>
    </row>
    <row r="108" spans="1:14" ht="17.25" customHeight="1" x14ac:dyDescent="0.25">
      <c r="A108" s="84" t="s">
        <v>564</v>
      </c>
      <c r="B108" s="83" t="s">
        <v>102</v>
      </c>
      <c r="C108" s="45">
        <v>2022</v>
      </c>
      <c r="D108" s="45">
        <v>0.4</v>
      </c>
      <c r="E108" s="45">
        <v>95</v>
      </c>
      <c r="F108" s="45">
        <v>15</v>
      </c>
      <c r="G108" s="53">
        <v>36.26896</v>
      </c>
      <c r="H108" s="143"/>
      <c r="I108" s="57"/>
      <c r="J108" s="58"/>
      <c r="L108" s="57"/>
      <c r="N108" s="52"/>
    </row>
    <row r="109" spans="1:14" ht="17.25" customHeight="1" x14ac:dyDescent="0.25">
      <c r="A109" s="84" t="s">
        <v>563</v>
      </c>
      <c r="B109" s="83" t="s">
        <v>686</v>
      </c>
      <c r="C109" s="45">
        <v>2022</v>
      </c>
      <c r="D109" s="45">
        <v>0.4</v>
      </c>
      <c r="E109" s="45">
        <v>306</v>
      </c>
      <c r="F109" s="45">
        <v>8</v>
      </c>
      <c r="G109" s="53">
        <v>153.31413000000001</v>
      </c>
      <c r="H109" s="143"/>
      <c r="I109" s="57"/>
      <c r="J109" s="58"/>
      <c r="L109" s="57"/>
      <c r="N109" s="52"/>
    </row>
    <row r="110" spans="1:14" ht="17.25" hidden="1" customHeight="1" x14ac:dyDescent="0.25">
      <c r="A110" s="84" t="s">
        <v>564</v>
      </c>
      <c r="B110" s="83" t="s">
        <v>686</v>
      </c>
      <c r="C110" s="45">
        <v>2022</v>
      </c>
      <c r="D110" s="45">
        <v>6</v>
      </c>
      <c r="E110" s="45">
        <v>332</v>
      </c>
      <c r="F110" s="45">
        <v>376</v>
      </c>
      <c r="G110" s="53">
        <v>19.300729787234044</v>
      </c>
      <c r="H110" s="143"/>
      <c r="I110" s="57"/>
      <c r="J110" s="58"/>
      <c r="L110" s="57"/>
      <c r="N110" s="52"/>
    </row>
    <row r="111" spans="1:14" ht="17.25" customHeight="1" x14ac:dyDescent="0.25">
      <c r="A111" s="84" t="s">
        <v>563</v>
      </c>
      <c r="B111" s="83" t="s">
        <v>101</v>
      </c>
      <c r="C111" s="45">
        <v>2022</v>
      </c>
      <c r="D111" s="45">
        <v>0.4</v>
      </c>
      <c r="E111" s="45"/>
      <c r="F111" s="45">
        <v>15</v>
      </c>
      <c r="G111" s="53">
        <v>8.8737300000000001</v>
      </c>
      <c r="H111" s="143"/>
      <c r="I111" s="57"/>
      <c r="J111" s="58"/>
      <c r="L111" s="57"/>
      <c r="N111" s="52"/>
    </row>
    <row r="112" spans="1:14" ht="17.25" customHeight="1" x14ac:dyDescent="0.25">
      <c r="A112" s="84" t="s">
        <v>564</v>
      </c>
      <c r="B112" s="83" t="s">
        <v>100</v>
      </c>
      <c r="C112" s="45">
        <v>2022</v>
      </c>
      <c r="D112" s="45">
        <v>0.4</v>
      </c>
      <c r="E112" s="45">
        <v>384</v>
      </c>
      <c r="F112" s="45">
        <v>60</v>
      </c>
      <c r="G112" s="53">
        <v>69.66122</v>
      </c>
      <c r="H112" s="143"/>
      <c r="I112" s="57"/>
      <c r="J112" s="58"/>
      <c r="L112" s="57"/>
      <c r="N112" s="52"/>
    </row>
    <row r="113" spans="1:14" ht="17.25" customHeight="1" x14ac:dyDescent="0.25">
      <c r="A113" s="62" t="s">
        <v>564</v>
      </c>
      <c r="B113" s="61" t="s">
        <v>99</v>
      </c>
      <c r="C113" s="60">
        <v>2022</v>
      </c>
      <c r="D113" s="60">
        <v>0.4</v>
      </c>
      <c r="E113" s="60"/>
      <c r="F113" s="60"/>
      <c r="G113" s="59">
        <v>69.66122</v>
      </c>
      <c r="H113" s="143"/>
      <c r="I113" s="57"/>
      <c r="J113" s="58"/>
      <c r="L113" s="57"/>
      <c r="N113" s="52"/>
    </row>
    <row r="114" spans="1:14" ht="17.25" customHeight="1" x14ac:dyDescent="0.25">
      <c r="A114" s="62" t="s">
        <v>564</v>
      </c>
      <c r="B114" s="61" t="s">
        <v>99</v>
      </c>
      <c r="C114" s="60">
        <v>2022</v>
      </c>
      <c r="D114" s="60">
        <v>0.4</v>
      </c>
      <c r="E114" s="60">
        <v>150</v>
      </c>
      <c r="F114" s="60">
        <v>15</v>
      </c>
      <c r="G114" s="59">
        <v>261.86140999999998</v>
      </c>
      <c r="H114" s="143"/>
      <c r="I114" s="57"/>
      <c r="J114" s="58"/>
      <c r="L114" s="57"/>
      <c r="N114" s="52"/>
    </row>
    <row r="115" spans="1:14" ht="17.25" customHeight="1" x14ac:dyDescent="0.25">
      <c r="A115" s="62" t="s">
        <v>563</v>
      </c>
      <c r="B115" s="61" t="s">
        <v>98</v>
      </c>
      <c r="C115" s="60">
        <v>2022</v>
      </c>
      <c r="D115" s="60">
        <v>0.4</v>
      </c>
      <c r="E115" s="60">
        <v>105</v>
      </c>
      <c r="F115" s="60">
        <v>30</v>
      </c>
      <c r="G115" s="59">
        <v>111.149305</v>
      </c>
      <c r="H115" s="143"/>
      <c r="I115" s="57"/>
      <c r="J115" s="58"/>
      <c r="L115" s="57"/>
      <c r="N115" s="52"/>
    </row>
    <row r="116" spans="1:14" ht="17.25" customHeight="1" x14ac:dyDescent="0.25">
      <c r="A116" s="62" t="s">
        <v>563</v>
      </c>
      <c r="B116" s="61" t="s">
        <v>97</v>
      </c>
      <c r="C116" s="60">
        <v>2022</v>
      </c>
      <c r="D116" s="60">
        <v>0.4</v>
      </c>
      <c r="E116" s="60"/>
      <c r="F116" s="60"/>
      <c r="G116" s="59">
        <v>111.149305</v>
      </c>
      <c r="H116" s="143"/>
      <c r="I116" s="57"/>
      <c r="J116" s="58"/>
      <c r="L116" s="57"/>
      <c r="N116" s="52"/>
    </row>
    <row r="117" spans="1:14" ht="17.25" hidden="1" customHeight="1" x14ac:dyDescent="0.25">
      <c r="A117" s="62" t="s">
        <v>564</v>
      </c>
      <c r="B117" s="61" t="s">
        <v>98</v>
      </c>
      <c r="C117" s="60">
        <v>2022</v>
      </c>
      <c r="D117" s="60">
        <v>10</v>
      </c>
      <c r="E117" s="60">
        <v>692</v>
      </c>
      <c r="F117" s="60">
        <v>93</v>
      </c>
      <c r="G117" s="59">
        <v>164.16344838709679</v>
      </c>
      <c r="H117" s="143"/>
      <c r="I117" s="57"/>
      <c r="J117" s="58"/>
      <c r="L117" s="57"/>
      <c r="N117" s="52"/>
    </row>
    <row r="118" spans="1:14" ht="17.25" hidden="1" customHeight="1" x14ac:dyDescent="0.25">
      <c r="A118" s="62" t="s">
        <v>564</v>
      </c>
      <c r="B118" s="61" t="s">
        <v>97</v>
      </c>
      <c r="C118" s="60">
        <v>2022</v>
      </c>
      <c r="D118" s="60">
        <v>10</v>
      </c>
      <c r="E118" s="60"/>
      <c r="F118" s="60"/>
      <c r="G118" s="59">
        <v>164.16344838709679</v>
      </c>
      <c r="H118" s="143"/>
      <c r="I118" s="57"/>
      <c r="J118" s="58"/>
      <c r="L118" s="57"/>
      <c r="N118" s="52"/>
    </row>
    <row r="119" spans="1:14" ht="17.25" customHeight="1" x14ac:dyDescent="0.25">
      <c r="A119" s="62" t="s">
        <v>563</v>
      </c>
      <c r="B119" s="61" t="s">
        <v>96</v>
      </c>
      <c r="C119" s="60">
        <v>2022</v>
      </c>
      <c r="D119" s="60">
        <v>0.4</v>
      </c>
      <c r="E119" s="60">
        <v>64</v>
      </c>
      <c r="F119" s="60">
        <v>15</v>
      </c>
      <c r="G119" s="59">
        <v>21.712240000000001</v>
      </c>
      <c r="H119" s="143"/>
      <c r="I119" s="57"/>
      <c r="J119" s="58"/>
      <c r="L119" s="57"/>
      <c r="N119" s="52"/>
    </row>
    <row r="120" spans="1:14" ht="17.25" customHeight="1" x14ac:dyDescent="0.25">
      <c r="A120" s="62" t="s">
        <v>563</v>
      </c>
      <c r="B120" s="61" t="s">
        <v>95</v>
      </c>
      <c r="C120" s="60">
        <v>2022</v>
      </c>
      <c r="D120" s="60">
        <v>0.4</v>
      </c>
      <c r="E120" s="60">
        <v>47</v>
      </c>
      <c r="F120" s="60">
        <v>15</v>
      </c>
      <c r="G120" s="59">
        <v>17.27572</v>
      </c>
      <c r="H120" s="143"/>
      <c r="I120" s="57"/>
      <c r="J120" s="58"/>
      <c r="L120" s="57"/>
      <c r="N120" s="52"/>
    </row>
    <row r="121" spans="1:14" ht="17.25" customHeight="1" x14ac:dyDescent="0.25">
      <c r="A121" s="62" t="s">
        <v>564</v>
      </c>
      <c r="B121" s="61" t="s">
        <v>96</v>
      </c>
      <c r="C121" s="60">
        <v>2022</v>
      </c>
      <c r="D121" s="60">
        <v>0.4</v>
      </c>
      <c r="E121" s="60">
        <v>323</v>
      </c>
      <c r="F121" s="60">
        <v>185</v>
      </c>
      <c r="G121" s="59">
        <v>25.961518378378379</v>
      </c>
      <c r="H121" s="143"/>
      <c r="I121" s="57"/>
      <c r="J121" s="58"/>
      <c r="L121" s="57"/>
      <c r="N121" s="52"/>
    </row>
    <row r="122" spans="1:14" ht="17.25" customHeight="1" x14ac:dyDescent="0.25">
      <c r="A122" s="62" t="s">
        <v>564</v>
      </c>
      <c r="B122" s="61" t="s">
        <v>95</v>
      </c>
      <c r="C122" s="60">
        <v>2022</v>
      </c>
      <c r="D122" s="60">
        <v>0.4</v>
      </c>
      <c r="E122" s="60"/>
      <c r="F122" s="60"/>
      <c r="G122" s="59">
        <v>25.961518378378379</v>
      </c>
      <c r="H122" s="143"/>
      <c r="I122" s="57"/>
      <c r="J122" s="58"/>
      <c r="L122" s="57"/>
      <c r="N122" s="52"/>
    </row>
    <row r="123" spans="1:14" ht="17.25" customHeight="1" x14ac:dyDescent="0.25">
      <c r="A123" s="62" t="s">
        <v>564</v>
      </c>
      <c r="B123" s="61" t="s">
        <v>94</v>
      </c>
      <c r="C123" s="60">
        <v>2022</v>
      </c>
      <c r="D123" s="60">
        <v>0.4</v>
      </c>
      <c r="E123" s="60"/>
      <c r="F123" s="60"/>
      <c r="G123" s="59">
        <v>8.6538394594594585</v>
      </c>
      <c r="H123" s="143"/>
      <c r="I123" s="57"/>
      <c r="J123" s="58"/>
      <c r="L123" s="57"/>
      <c r="N123" s="52"/>
    </row>
    <row r="124" spans="1:14" ht="17.25" hidden="1" customHeight="1" x14ac:dyDescent="0.25">
      <c r="A124" s="62" t="s">
        <v>563</v>
      </c>
      <c r="B124" s="61" t="s">
        <v>96</v>
      </c>
      <c r="C124" s="60">
        <v>2022</v>
      </c>
      <c r="D124" s="60">
        <v>10</v>
      </c>
      <c r="E124" s="60">
        <v>303</v>
      </c>
      <c r="F124" s="60">
        <v>232.5</v>
      </c>
      <c r="G124" s="59">
        <v>50.682601935483866</v>
      </c>
      <c r="H124" s="143"/>
      <c r="I124" s="57"/>
      <c r="J124" s="58"/>
      <c r="L124" s="57"/>
      <c r="N124" s="52"/>
    </row>
    <row r="125" spans="1:14" ht="17.25" hidden="1" customHeight="1" x14ac:dyDescent="0.25">
      <c r="A125" s="62" t="s">
        <v>563</v>
      </c>
      <c r="B125" s="61" t="s">
        <v>95</v>
      </c>
      <c r="C125" s="60">
        <v>2022</v>
      </c>
      <c r="D125" s="60">
        <v>10</v>
      </c>
      <c r="E125" s="60"/>
      <c r="F125" s="60"/>
      <c r="G125" s="59">
        <v>50.682601935483866</v>
      </c>
      <c r="H125" s="143"/>
      <c r="I125" s="57"/>
      <c r="J125" s="58"/>
      <c r="L125" s="57"/>
      <c r="N125" s="52"/>
    </row>
    <row r="126" spans="1:14" ht="17.25" hidden="1" customHeight="1" x14ac:dyDescent="0.25">
      <c r="A126" s="62" t="s">
        <v>563</v>
      </c>
      <c r="B126" s="61" t="s">
        <v>94</v>
      </c>
      <c r="C126" s="60">
        <v>2022</v>
      </c>
      <c r="D126" s="60">
        <v>10</v>
      </c>
      <c r="E126" s="60"/>
      <c r="F126" s="60"/>
      <c r="G126" s="59">
        <v>16.894200645161288</v>
      </c>
      <c r="H126" s="143"/>
      <c r="I126" s="57"/>
      <c r="J126" s="58"/>
      <c r="L126" s="57"/>
      <c r="N126" s="52"/>
    </row>
    <row r="127" spans="1:14" ht="17.25" customHeight="1" x14ac:dyDescent="0.25">
      <c r="A127" s="62" t="s">
        <v>707</v>
      </c>
      <c r="B127" s="61" t="s">
        <v>572</v>
      </c>
      <c r="C127" s="60">
        <v>2022</v>
      </c>
      <c r="D127" s="60">
        <v>0.4</v>
      </c>
      <c r="E127" s="60">
        <v>117</v>
      </c>
      <c r="F127" s="60">
        <v>80</v>
      </c>
      <c r="G127" s="59">
        <v>213.61079000000001</v>
      </c>
      <c r="H127" s="143"/>
      <c r="I127" s="57" t="s">
        <v>711</v>
      </c>
      <c r="J127" s="58"/>
      <c r="L127" s="57"/>
      <c r="N127" s="52"/>
    </row>
    <row r="128" spans="1:14" ht="17.25" customHeight="1" x14ac:dyDescent="0.25">
      <c r="A128" s="62" t="s">
        <v>707</v>
      </c>
      <c r="B128" s="61" t="s">
        <v>395</v>
      </c>
      <c r="C128" s="60">
        <v>2022</v>
      </c>
      <c r="D128" s="60">
        <v>0.4</v>
      </c>
      <c r="E128" s="60">
        <v>236</v>
      </c>
      <c r="F128" s="60">
        <v>100</v>
      </c>
      <c r="G128" s="59">
        <v>106.85411999999999</v>
      </c>
      <c r="H128" s="143"/>
      <c r="I128" s="57"/>
      <c r="J128" s="58"/>
      <c r="L128" s="57"/>
      <c r="N128" s="52"/>
    </row>
    <row r="129" spans="1:14" ht="17.25" customHeight="1" x14ac:dyDescent="0.25">
      <c r="A129" s="62" t="s">
        <v>707</v>
      </c>
      <c r="B129" s="61" t="s">
        <v>394</v>
      </c>
      <c r="C129" s="60">
        <v>2022</v>
      </c>
      <c r="D129" s="60">
        <v>0.4</v>
      </c>
      <c r="E129" s="60"/>
      <c r="F129" s="60"/>
      <c r="G129" s="59">
        <v>42.741647999999991</v>
      </c>
      <c r="H129" s="143"/>
      <c r="I129" s="57"/>
      <c r="J129" s="58"/>
      <c r="L129" s="57"/>
      <c r="N129" s="52"/>
    </row>
    <row r="130" spans="1:14" ht="17.25" customHeight="1" x14ac:dyDescent="0.25">
      <c r="A130" s="62" t="s">
        <v>708</v>
      </c>
      <c r="B130" s="61" t="s">
        <v>394</v>
      </c>
      <c r="C130" s="60">
        <v>2022</v>
      </c>
      <c r="D130" s="60">
        <v>0.4</v>
      </c>
      <c r="E130" s="60">
        <v>85</v>
      </c>
      <c r="F130" s="60">
        <v>20</v>
      </c>
      <c r="G130" s="59">
        <v>51.329180000000001</v>
      </c>
      <c r="H130" s="143"/>
      <c r="I130" s="57"/>
      <c r="J130" s="58"/>
      <c r="L130" s="57"/>
      <c r="N130" s="52"/>
    </row>
    <row r="131" spans="1:14" ht="17.25" customHeight="1" x14ac:dyDescent="0.25">
      <c r="A131" s="62" t="s">
        <v>708</v>
      </c>
      <c r="B131" s="61" t="s">
        <v>389</v>
      </c>
      <c r="C131" s="60">
        <v>2022</v>
      </c>
      <c r="D131" s="60">
        <v>0.4</v>
      </c>
      <c r="E131" s="60">
        <v>142</v>
      </c>
      <c r="F131" s="60">
        <v>30</v>
      </c>
      <c r="G131" s="59">
        <v>200.83535999999998</v>
      </c>
      <c r="H131" s="143"/>
      <c r="I131" s="57"/>
      <c r="J131" s="58"/>
      <c r="L131" s="57"/>
      <c r="N131" s="52"/>
    </row>
    <row r="132" spans="1:14" ht="17.25" customHeight="1" x14ac:dyDescent="0.25">
      <c r="A132" s="62" t="s">
        <v>709</v>
      </c>
      <c r="B132" s="61" t="s">
        <v>492</v>
      </c>
      <c r="C132" s="60">
        <v>2022</v>
      </c>
      <c r="D132" s="60">
        <v>0.4</v>
      </c>
      <c r="E132" s="60">
        <v>101.5</v>
      </c>
      <c r="F132" s="60">
        <v>140</v>
      </c>
      <c r="G132" s="59">
        <v>93.452928571428572</v>
      </c>
      <c r="H132" s="143"/>
      <c r="I132" s="57"/>
      <c r="J132" s="58"/>
      <c r="L132" s="57"/>
      <c r="N132" s="52"/>
    </row>
    <row r="133" spans="1:14" ht="17.25" customHeight="1" x14ac:dyDescent="0.25">
      <c r="A133" s="62" t="s">
        <v>709</v>
      </c>
      <c r="B133" s="61" t="s">
        <v>491</v>
      </c>
      <c r="C133" s="60">
        <v>2022</v>
      </c>
      <c r="D133" s="60">
        <v>0.4</v>
      </c>
      <c r="E133" s="60"/>
      <c r="F133" s="60"/>
      <c r="G133" s="59">
        <v>70.089696428571415</v>
      </c>
      <c r="H133" s="143"/>
      <c r="I133" s="57"/>
      <c r="J133" s="58"/>
      <c r="L133" s="57"/>
      <c r="N133" s="52"/>
    </row>
    <row r="134" spans="1:14" ht="17.25" customHeight="1" x14ac:dyDescent="0.25">
      <c r="A134" s="62" t="s">
        <v>709</v>
      </c>
      <c r="B134" s="61" t="s">
        <v>490</v>
      </c>
      <c r="C134" s="60">
        <v>2022</v>
      </c>
      <c r="D134" s="60">
        <v>0.4</v>
      </c>
      <c r="E134" s="60"/>
      <c r="F134" s="60"/>
      <c r="G134" s="59">
        <v>93.452928571428572</v>
      </c>
      <c r="H134" s="143"/>
      <c r="I134" s="57"/>
      <c r="J134" s="58"/>
      <c r="L134" s="57"/>
      <c r="N134" s="52"/>
    </row>
    <row r="135" spans="1:14" ht="17.25" customHeight="1" x14ac:dyDescent="0.25">
      <c r="A135" s="62" t="s">
        <v>709</v>
      </c>
      <c r="B135" s="61" t="s">
        <v>489</v>
      </c>
      <c r="C135" s="60">
        <v>2022</v>
      </c>
      <c r="D135" s="60">
        <v>0.4</v>
      </c>
      <c r="E135" s="60"/>
      <c r="F135" s="60"/>
      <c r="G135" s="59">
        <v>70.089696428571415</v>
      </c>
      <c r="H135" s="143"/>
      <c r="I135" s="57"/>
      <c r="J135" s="58"/>
      <c r="L135" s="57"/>
      <c r="N135" s="52"/>
    </row>
    <row r="136" spans="1:14" ht="17.25" customHeight="1" x14ac:dyDescent="0.25">
      <c r="A136" s="62" t="s">
        <v>707</v>
      </c>
      <c r="B136" s="61" t="s">
        <v>567</v>
      </c>
      <c r="C136" s="60">
        <v>2022</v>
      </c>
      <c r="D136" s="60">
        <v>0.4</v>
      </c>
      <c r="E136" s="60">
        <v>145</v>
      </c>
      <c r="F136" s="60">
        <v>58</v>
      </c>
      <c r="G136" s="59">
        <v>144.71563</v>
      </c>
      <c r="H136" s="143"/>
      <c r="I136" s="57"/>
      <c r="J136" s="58"/>
      <c r="L136" s="57"/>
      <c r="N136" s="52"/>
    </row>
    <row r="137" spans="1:14" ht="17.25" customHeight="1" x14ac:dyDescent="0.25">
      <c r="A137" s="62" t="s">
        <v>707</v>
      </c>
      <c r="B137" s="61" t="s">
        <v>387</v>
      </c>
      <c r="C137" s="60">
        <v>2022</v>
      </c>
      <c r="D137" s="60">
        <v>0.4</v>
      </c>
      <c r="E137" s="60">
        <v>221</v>
      </c>
      <c r="F137" s="60">
        <v>60</v>
      </c>
      <c r="G137" s="59">
        <v>198.1876</v>
      </c>
      <c r="H137" s="143"/>
      <c r="I137" s="57"/>
      <c r="J137" s="58"/>
      <c r="L137" s="57"/>
      <c r="N137" s="52"/>
    </row>
    <row r="138" spans="1:14" ht="17.25" customHeight="1" x14ac:dyDescent="0.25">
      <c r="A138" s="62" t="s">
        <v>707</v>
      </c>
      <c r="B138" s="61" t="s">
        <v>350</v>
      </c>
      <c r="C138" s="60">
        <v>2022</v>
      </c>
      <c r="D138" s="60">
        <v>0.4</v>
      </c>
      <c r="E138" s="60">
        <v>101</v>
      </c>
      <c r="F138" s="60">
        <v>125</v>
      </c>
      <c r="G138" s="59">
        <v>105.75003</v>
      </c>
      <c r="H138" s="143"/>
      <c r="I138" s="57"/>
      <c r="J138" s="58"/>
      <c r="L138" s="57"/>
      <c r="N138" s="52"/>
    </row>
    <row r="139" spans="1:14" ht="17.25" hidden="1" customHeight="1" x14ac:dyDescent="0.25">
      <c r="A139" s="62" t="s">
        <v>708</v>
      </c>
      <c r="B139" s="61" t="s">
        <v>350</v>
      </c>
      <c r="C139" s="60">
        <v>2022</v>
      </c>
      <c r="D139" s="60">
        <v>6</v>
      </c>
      <c r="E139" s="60">
        <v>10</v>
      </c>
      <c r="F139" s="60">
        <v>150.39999999999998</v>
      </c>
      <c r="G139" s="59">
        <v>67.15625831117022</v>
      </c>
      <c r="H139" s="143"/>
      <c r="I139" s="57"/>
      <c r="J139" s="58"/>
      <c r="L139" s="57"/>
      <c r="N139" s="52"/>
    </row>
    <row r="140" spans="1:14" ht="17.25" customHeight="1" x14ac:dyDescent="0.25">
      <c r="A140" s="62" t="s">
        <v>707</v>
      </c>
      <c r="B140" s="61" t="s">
        <v>566</v>
      </c>
      <c r="C140" s="60">
        <v>2022</v>
      </c>
      <c r="D140" s="60">
        <v>0.4</v>
      </c>
      <c r="E140" s="60">
        <v>240</v>
      </c>
      <c r="F140" s="60">
        <v>50</v>
      </c>
      <c r="G140" s="59">
        <v>362.13458000000003</v>
      </c>
      <c r="H140" s="143"/>
      <c r="I140" s="57"/>
      <c r="J140" s="58"/>
      <c r="L140" s="57"/>
      <c r="N140" s="52"/>
    </row>
    <row r="141" spans="1:14" ht="17.25" customHeight="1" x14ac:dyDescent="0.25">
      <c r="A141" s="62" t="s">
        <v>710</v>
      </c>
      <c r="B141" s="61" t="s">
        <v>348</v>
      </c>
      <c r="C141" s="60">
        <v>2022</v>
      </c>
      <c r="D141" s="60">
        <v>0.4</v>
      </c>
      <c r="E141" s="60">
        <v>93</v>
      </c>
      <c r="F141" s="60">
        <v>100</v>
      </c>
      <c r="G141" s="59">
        <v>230.1994</v>
      </c>
      <c r="H141" s="143"/>
      <c r="I141" s="57"/>
      <c r="J141" s="58"/>
      <c r="L141" s="57"/>
      <c r="N141" s="52"/>
    </row>
    <row r="142" spans="1:14" ht="17.25" customHeight="1" x14ac:dyDescent="0.25">
      <c r="A142" s="62" t="s">
        <v>707</v>
      </c>
      <c r="B142" s="61" t="s">
        <v>346</v>
      </c>
      <c r="C142" s="60">
        <v>2022</v>
      </c>
      <c r="D142" s="60">
        <v>0.4</v>
      </c>
      <c r="E142" s="60">
        <v>197</v>
      </c>
      <c r="F142" s="60">
        <v>50</v>
      </c>
      <c r="G142" s="59">
        <v>167.42985999999999</v>
      </c>
      <c r="H142" s="143"/>
      <c r="I142" s="57"/>
      <c r="J142" s="58"/>
      <c r="L142" s="57"/>
      <c r="N142" s="52"/>
    </row>
    <row r="143" spans="1:14" ht="17.25" hidden="1" customHeight="1" x14ac:dyDescent="0.25">
      <c r="A143" s="62" t="s">
        <v>707</v>
      </c>
      <c r="B143" s="61" t="s">
        <v>346</v>
      </c>
      <c r="C143" s="60">
        <v>2022</v>
      </c>
      <c r="D143" s="60">
        <v>6</v>
      </c>
      <c r="E143" s="60">
        <v>336.66666666666669</v>
      </c>
      <c r="F143" s="60">
        <v>376</v>
      </c>
      <c r="G143" s="59">
        <v>120.62956117021277</v>
      </c>
      <c r="H143" s="143"/>
      <c r="I143" s="57"/>
      <c r="J143" s="58"/>
      <c r="L143" s="57"/>
      <c r="N143" s="52"/>
    </row>
    <row r="144" spans="1:14" ht="17.25" hidden="1" customHeight="1" x14ac:dyDescent="0.25">
      <c r="A144" s="62" t="s">
        <v>707</v>
      </c>
      <c r="B144" s="61" t="s">
        <v>345</v>
      </c>
      <c r="C144" s="60">
        <v>2022</v>
      </c>
      <c r="D144" s="60">
        <v>6</v>
      </c>
      <c r="E144" s="60"/>
      <c r="F144" s="60"/>
      <c r="G144" s="59">
        <v>361.88868351063832</v>
      </c>
      <c r="H144" s="143"/>
      <c r="I144" s="57"/>
      <c r="J144" s="58"/>
      <c r="L144" s="57"/>
      <c r="N144" s="52"/>
    </row>
    <row r="145" spans="1:20" ht="17.25" hidden="1" customHeight="1" x14ac:dyDescent="0.25">
      <c r="A145" s="62" t="s">
        <v>707</v>
      </c>
      <c r="B145" s="61" t="s">
        <v>344</v>
      </c>
      <c r="C145" s="60">
        <v>2022</v>
      </c>
      <c r="D145" s="60">
        <v>6</v>
      </c>
      <c r="E145" s="60"/>
      <c r="F145" s="60"/>
      <c r="G145" s="59">
        <v>361.88868351063832</v>
      </c>
      <c r="H145" s="143"/>
      <c r="I145" s="57"/>
      <c r="J145" s="58"/>
      <c r="L145" s="57"/>
      <c r="N145" s="52"/>
    </row>
    <row r="146" spans="1:20" ht="17.25" customHeight="1" x14ac:dyDescent="0.25">
      <c r="A146" s="62" t="s">
        <v>708</v>
      </c>
      <c r="B146" s="61" t="s">
        <v>343</v>
      </c>
      <c r="C146" s="60">
        <v>2022</v>
      </c>
      <c r="D146" s="60">
        <v>0.4</v>
      </c>
      <c r="E146" s="60">
        <v>6</v>
      </c>
      <c r="F146" s="60">
        <v>65</v>
      </c>
      <c r="G146" s="59">
        <v>17.137409999999999</v>
      </c>
      <c r="H146" s="143"/>
      <c r="I146" s="57"/>
      <c r="J146" s="58"/>
      <c r="L146" s="57"/>
      <c r="N146" s="52"/>
    </row>
    <row r="147" spans="1:20" ht="17.25" hidden="1" customHeight="1" x14ac:dyDescent="0.25">
      <c r="A147" s="62" t="s">
        <v>708</v>
      </c>
      <c r="B147" s="61" t="s">
        <v>343</v>
      </c>
      <c r="C147" s="60">
        <v>2022</v>
      </c>
      <c r="D147" s="60">
        <v>6</v>
      </c>
      <c r="E147" s="60">
        <v>12</v>
      </c>
      <c r="F147" s="60">
        <v>94</v>
      </c>
      <c r="G147" s="59">
        <v>66.39242446808511</v>
      </c>
      <c r="H147" s="143"/>
      <c r="I147" s="57"/>
      <c r="J147" s="58"/>
      <c r="L147" s="57"/>
      <c r="N147" s="52"/>
    </row>
    <row r="148" spans="1:20" ht="17.25" customHeight="1" x14ac:dyDescent="0.25">
      <c r="A148" s="62" t="s">
        <v>707</v>
      </c>
      <c r="B148" s="61" t="s">
        <v>342</v>
      </c>
      <c r="C148" s="60">
        <v>2022</v>
      </c>
      <c r="D148" s="60">
        <v>0.4</v>
      </c>
      <c r="E148" s="60">
        <v>654</v>
      </c>
      <c r="F148" s="60">
        <v>150</v>
      </c>
      <c r="G148" s="59">
        <v>862.94430378378377</v>
      </c>
      <c r="H148" s="143"/>
      <c r="I148" s="57"/>
      <c r="J148" s="58"/>
      <c r="L148" s="57"/>
      <c r="N148" s="52"/>
    </row>
    <row r="149" spans="1:20" ht="17.25" hidden="1" customHeight="1" x14ac:dyDescent="0.25">
      <c r="A149" s="62" t="s">
        <v>708</v>
      </c>
      <c r="B149" s="61" t="s">
        <v>342</v>
      </c>
      <c r="C149" s="60">
        <v>2022</v>
      </c>
      <c r="D149" s="60">
        <v>10</v>
      </c>
      <c r="E149" s="60">
        <v>303</v>
      </c>
      <c r="F149" s="60">
        <v>232.5</v>
      </c>
      <c r="G149" s="59">
        <v>506.82601935483865</v>
      </c>
      <c r="H149" s="143"/>
      <c r="I149" s="57"/>
      <c r="J149" s="58"/>
      <c r="L149" s="57"/>
      <c r="N149" s="52"/>
    </row>
    <row r="150" spans="1:20" ht="17.25" customHeight="1" x14ac:dyDescent="0.25">
      <c r="A150" s="62" t="s">
        <v>709</v>
      </c>
      <c r="B150" s="61" t="s">
        <v>340</v>
      </c>
      <c r="C150" s="60">
        <v>2022</v>
      </c>
      <c r="D150" s="60">
        <v>0.4</v>
      </c>
      <c r="E150" s="60">
        <v>200</v>
      </c>
      <c r="F150" s="60">
        <v>100</v>
      </c>
      <c r="G150" s="59">
        <v>470.17372999999998</v>
      </c>
      <c r="H150" s="143"/>
      <c r="I150" s="57"/>
      <c r="J150" s="58"/>
      <c r="L150" s="57"/>
      <c r="N150" s="52"/>
    </row>
    <row r="151" spans="1:20" ht="15.75" hidden="1" customHeight="1" x14ac:dyDescent="0.25">
      <c r="A151" s="35" t="s">
        <v>561</v>
      </c>
      <c r="B151" s="34" t="s">
        <v>560</v>
      </c>
      <c r="C151" s="33"/>
      <c r="D151" s="17"/>
      <c r="E151" s="33"/>
      <c r="F151" s="17"/>
      <c r="G151" s="32"/>
      <c r="H151" s="135"/>
      <c r="I151" s="52"/>
      <c r="J151" s="52"/>
    </row>
    <row r="152" spans="1:20" ht="70.5" hidden="1" customHeight="1" x14ac:dyDescent="0.25">
      <c r="A152" s="25" t="s">
        <v>559</v>
      </c>
      <c r="B152" s="29" t="s">
        <v>558</v>
      </c>
      <c r="C152" s="33"/>
      <c r="D152" s="17"/>
      <c r="E152" s="33"/>
      <c r="F152" s="17"/>
      <c r="G152" s="32"/>
      <c r="H152" s="135"/>
      <c r="I152" s="52"/>
      <c r="J152" s="52"/>
    </row>
    <row r="153" spans="1:20" ht="23.1" hidden="1" customHeight="1" x14ac:dyDescent="0.25">
      <c r="A153" s="25" t="s">
        <v>557</v>
      </c>
      <c r="B153" s="29" t="s">
        <v>556</v>
      </c>
      <c r="C153" s="33"/>
      <c r="D153" s="17"/>
      <c r="E153" s="33"/>
      <c r="F153" s="17"/>
      <c r="G153" s="32"/>
      <c r="H153" s="135"/>
      <c r="I153" s="52"/>
      <c r="J153" s="52"/>
    </row>
    <row r="154" spans="1:20" ht="39.950000000000003" hidden="1" customHeight="1" x14ac:dyDescent="0.25">
      <c r="A154" s="25" t="s">
        <v>555</v>
      </c>
      <c r="B154" s="29" t="s">
        <v>554</v>
      </c>
      <c r="C154" s="33"/>
      <c r="D154" s="17"/>
      <c r="E154" s="33"/>
      <c r="F154" s="17"/>
      <c r="G154" s="32"/>
      <c r="H154" s="135"/>
      <c r="I154" s="52"/>
      <c r="J154" s="52"/>
    </row>
    <row r="155" spans="1:20" ht="129.6" hidden="1" customHeight="1" x14ac:dyDescent="0.25">
      <c r="A155" s="25" t="s">
        <v>553</v>
      </c>
      <c r="B155" s="29" t="s">
        <v>552</v>
      </c>
      <c r="C155" s="13"/>
      <c r="D155" s="12"/>
      <c r="E155" s="13"/>
      <c r="F155" s="12"/>
      <c r="G155" s="11"/>
    </row>
    <row r="156" spans="1:20" s="30" customFormat="1" ht="53.1" hidden="1" customHeight="1" x14ac:dyDescent="0.25">
      <c r="A156" s="25" t="s">
        <v>551</v>
      </c>
      <c r="B156" s="29" t="s">
        <v>550</v>
      </c>
      <c r="C156" s="13"/>
      <c r="D156" s="12"/>
      <c r="E156" s="13"/>
      <c r="F156" s="12"/>
      <c r="G156" s="11"/>
      <c r="H156" s="2"/>
      <c r="T156" s="1"/>
    </row>
    <row r="157" spans="1:20" ht="16.5" customHeight="1" x14ac:dyDescent="0.25">
      <c r="A157" s="41" t="s">
        <v>526</v>
      </c>
      <c r="B157" s="44" t="s">
        <v>548</v>
      </c>
      <c r="C157" s="39">
        <v>2020</v>
      </c>
      <c r="D157" s="39">
        <v>0.4</v>
      </c>
      <c r="E157" s="39">
        <v>11</v>
      </c>
      <c r="F157" s="11">
        <v>15</v>
      </c>
      <c r="G157" s="50">
        <v>31.62</v>
      </c>
      <c r="H157" s="134"/>
      <c r="I157" s="1" t="s">
        <v>549</v>
      </c>
      <c r="J157" s="1">
        <v>66.10427</v>
      </c>
      <c r="K157" s="1">
        <v>2.8740986959999999</v>
      </c>
      <c r="L157" s="48"/>
    </row>
    <row r="158" spans="1:20" x14ac:dyDescent="0.25">
      <c r="A158" s="41" t="s">
        <v>487</v>
      </c>
      <c r="B158" s="44" t="s">
        <v>548</v>
      </c>
      <c r="C158" s="39">
        <v>2020</v>
      </c>
      <c r="D158" s="39">
        <v>0.4</v>
      </c>
      <c r="E158" s="39">
        <v>3</v>
      </c>
      <c r="F158" s="11">
        <v>15</v>
      </c>
      <c r="G158" s="50">
        <v>8.6199999999999992</v>
      </c>
      <c r="H158" s="134"/>
      <c r="J158" s="1">
        <v>23</v>
      </c>
      <c r="L158" s="48"/>
    </row>
    <row r="159" spans="1:20" x14ac:dyDescent="0.25">
      <c r="A159" s="41" t="s">
        <v>525</v>
      </c>
      <c r="B159" s="44" t="s">
        <v>473</v>
      </c>
      <c r="C159" s="39">
        <v>2020</v>
      </c>
      <c r="D159" s="39">
        <v>0.4</v>
      </c>
      <c r="E159" s="39">
        <v>9</v>
      </c>
      <c r="F159" s="11">
        <v>15</v>
      </c>
      <c r="G159" s="50">
        <v>25.87</v>
      </c>
      <c r="H159" s="134"/>
      <c r="L159" s="48"/>
    </row>
    <row r="160" spans="1:20" ht="17.25" customHeight="1" x14ac:dyDescent="0.25">
      <c r="A160" s="41" t="s">
        <v>547</v>
      </c>
      <c r="B160" s="44" t="s">
        <v>445</v>
      </c>
      <c r="C160" s="39">
        <v>2020</v>
      </c>
      <c r="D160" s="39">
        <v>0.4</v>
      </c>
      <c r="E160" s="39">
        <v>30</v>
      </c>
      <c r="F160" s="11">
        <v>5</v>
      </c>
      <c r="G160" s="50">
        <v>6.22</v>
      </c>
      <c r="H160" s="134"/>
      <c r="I160" s="1" t="s">
        <v>546</v>
      </c>
      <c r="L160" s="48"/>
    </row>
    <row r="161" spans="1:12" ht="15" customHeight="1" x14ac:dyDescent="0.25">
      <c r="A161" s="41" t="s">
        <v>544</v>
      </c>
      <c r="B161" s="44" t="s">
        <v>470</v>
      </c>
      <c r="C161" s="39">
        <v>2020</v>
      </c>
      <c r="D161" s="39">
        <v>0.4</v>
      </c>
      <c r="E161" s="39">
        <v>91</v>
      </c>
      <c r="F161" s="11">
        <v>5</v>
      </c>
      <c r="G161" s="50">
        <v>76.58</v>
      </c>
      <c r="H161" s="134"/>
      <c r="I161" s="1" t="s">
        <v>545</v>
      </c>
      <c r="L161" s="48"/>
    </row>
    <row r="162" spans="1:12" x14ac:dyDescent="0.25">
      <c r="A162" s="41" t="s">
        <v>544</v>
      </c>
      <c r="B162" s="44" t="s">
        <v>469</v>
      </c>
      <c r="C162" s="39">
        <v>2020</v>
      </c>
      <c r="D162" s="39">
        <v>0.4</v>
      </c>
      <c r="E162" s="39">
        <v>39</v>
      </c>
      <c r="F162" s="11">
        <v>5</v>
      </c>
      <c r="G162" s="50">
        <v>38.01</v>
      </c>
      <c r="H162" s="134"/>
      <c r="L162" s="48"/>
    </row>
    <row r="163" spans="1:12" x14ac:dyDescent="0.25">
      <c r="A163" s="41" t="s">
        <v>544</v>
      </c>
      <c r="B163" s="44" t="s">
        <v>468</v>
      </c>
      <c r="C163" s="39">
        <v>2020</v>
      </c>
      <c r="D163" s="39">
        <v>0.4</v>
      </c>
      <c r="E163" s="39">
        <v>112</v>
      </c>
      <c r="F163" s="11">
        <v>5</v>
      </c>
      <c r="G163" s="50">
        <v>93.12</v>
      </c>
      <c r="H163" s="134"/>
      <c r="L163" s="48"/>
    </row>
    <row r="164" spans="1:12" x14ac:dyDescent="0.25">
      <c r="A164" s="41" t="s">
        <v>544</v>
      </c>
      <c r="B164" s="44" t="s">
        <v>467</v>
      </c>
      <c r="C164" s="39">
        <v>2020</v>
      </c>
      <c r="D164" s="39">
        <v>0.4</v>
      </c>
      <c r="E164" s="39">
        <v>120</v>
      </c>
      <c r="F164" s="11">
        <v>5</v>
      </c>
      <c r="G164" s="50">
        <v>104.37</v>
      </c>
      <c r="H164" s="134"/>
      <c r="L164" s="48"/>
    </row>
    <row r="165" spans="1:12" x14ac:dyDescent="0.25">
      <c r="A165" s="41" t="s">
        <v>544</v>
      </c>
      <c r="B165" s="44" t="s">
        <v>466</v>
      </c>
      <c r="C165" s="39">
        <v>2020</v>
      </c>
      <c r="D165" s="39">
        <v>0.4</v>
      </c>
      <c r="E165" s="39">
        <v>165</v>
      </c>
      <c r="F165" s="11">
        <v>5</v>
      </c>
      <c r="G165" s="50">
        <v>111.06</v>
      </c>
      <c r="H165" s="134"/>
      <c r="L165" s="48"/>
    </row>
    <row r="166" spans="1:12" x14ac:dyDescent="0.25">
      <c r="A166" s="41" t="s">
        <v>543</v>
      </c>
      <c r="B166" s="44" t="s">
        <v>447</v>
      </c>
      <c r="C166" s="39">
        <v>2020</v>
      </c>
      <c r="D166" s="39">
        <v>0.4</v>
      </c>
      <c r="E166" s="39">
        <v>11</v>
      </c>
      <c r="F166" s="11">
        <v>15</v>
      </c>
      <c r="G166" s="50">
        <v>30.45</v>
      </c>
      <c r="H166" s="134"/>
      <c r="I166" s="1" t="s">
        <v>449</v>
      </c>
      <c r="J166" s="1">
        <v>69.207089999999994</v>
      </c>
      <c r="L166" s="48">
        <v>25</v>
      </c>
    </row>
    <row r="167" spans="1:12" x14ac:dyDescent="0.25">
      <c r="A167" s="41" t="s">
        <v>542</v>
      </c>
      <c r="B167" s="44" t="s">
        <v>447</v>
      </c>
      <c r="C167" s="39">
        <v>2020</v>
      </c>
      <c r="D167" s="39">
        <v>0.4</v>
      </c>
      <c r="E167" s="39">
        <v>3</v>
      </c>
      <c r="F167" s="11">
        <v>15</v>
      </c>
      <c r="G167" s="50">
        <v>8.3000000000000007</v>
      </c>
      <c r="H167" s="134"/>
      <c r="L167" s="48"/>
    </row>
    <row r="168" spans="1:12" x14ac:dyDescent="0.25">
      <c r="A168" s="41" t="s">
        <v>542</v>
      </c>
      <c r="B168" s="44" t="s">
        <v>447</v>
      </c>
      <c r="C168" s="39">
        <v>2020</v>
      </c>
      <c r="D168" s="39">
        <v>0.4</v>
      </c>
      <c r="E168" s="39">
        <v>3</v>
      </c>
      <c r="F168" s="11">
        <v>15</v>
      </c>
      <c r="G168" s="50">
        <v>8.3000000000000007</v>
      </c>
      <c r="H168" s="134"/>
      <c r="L168" s="48"/>
    </row>
    <row r="169" spans="1:12" x14ac:dyDescent="0.25">
      <c r="A169" s="41" t="s">
        <v>541</v>
      </c>
      <c r="B169" s="44" t="s">
        <v>447</v>
      </c>
      <c r="C169" s="39">
        <v>2020</v>
      </c>
      <c r="D169" s="39">
        <v>0.4</v>
      </c>
      <c r="E169" s="39">
        <v>8</v>
      </c>
      <c r="F169" s="11">
        <v>15</v>
      </c>
      <c r="G169" s="50">
        <v>22.15</v>
      </c>
      <c r="H169" s="134"/>
      <c r="L169" s="48"/>
    </row>
    <row r="170" spans="1:12" x14ac:dyDescent="0.25">
      <c r="A170" s="41" t="s">
        <v>482</v>
      </c>
      <c r="B170" s="44" t="s">
        <v>539</v>
      </c>
      <c r="C170" s="39">
        <v>2020</v>
      </c>
      <c r="D170" s="39">
        <v>0.4</v>
      </c>
      <c r="E170" s="39">
        <v>23</v>
      </c>
      <c r="F170" s="11">
        <v>40</v>
      </c>
      <c r="G170" s="50">
        <v>406.21</v>
      </c>
      <c r="H170" s="134"/>
      <c r="I170" s="1" t="s">
        <v>540</v>
      </c>
      <c r="J170" s="1">
        <v>558.59718999999996</v>
      </c>
      <c r="K170" s="1">
        <v>35</v>
      </c>
      <c r="L170" s="48"/>
    </row>
    <row r="171" spans="1:12" x14ac:dyDescent="0.25">
      <c r="A171" s="41" t="s">
        <v>493</v>
      </c>
      <c r="B171" s="44" t="s">
        <v>539</v>
      </c>
      <c r="C171" s="39">
        <v>2020</v>
      </c>
      <c r="D171" s="39">
        <v>0.4</v>
      </c>
      <c r="E171" s="39">
        <v>11</v>
      </c>
      <c r="F171" s="11">
        <v>40</v>
      </c>
      <c r="G171" s="50">
        <v>152.38999999999999</v>
      </c>
      <c r="H171" s="134"/>
      <c r="L171" s="48"/>
    </row>
    <row r="172" spans="1:12" x14ac:dyDescent="0.25">
      <c r="A172" s="41" t="s">
        <v>482</v>
      </c>
      <c r="B172" s="44" t="s">
        <v>538</v>
      </c>
      <c r="C172" s="39">
        <v>2020</v>
      </c>
      <c r="D172" s="39">
        <v>0.4</v>
      </c>
      <c r="E172" s="39">
        <v>92</v>
      </c>
      <c r="F172" s="11">
        <v>40</v>
      </c>
      <c r="G172" s="50">
        <v>798.14</v>
      </c>
      <c r="H172" s="134"/>
      <c r="J172" s="1">
        <v>1286.7293099999999</v>
      </c>
      <c r="K172" s="1">
        <v>216</v>
      </c>
      <c r="L172" s="48"/>
    </row>
    <row r="173" spans="1:12" x14ac:dyDescent="0.25">
      <c r="A173" s="41" t="s">
        <v>493</v>
      </c>
      <c r="B173" s="44" t="s">
        <v>538</v>
      </c>
      <c r="C173" s="39">
        <v>2020</v>
      </c>
      <c r="D173" s="39">
        <v>0.4</v>
      </c>
      <c r="E173" s="39">
        <v>21</v>
      </c>
      <c r="F173" s="11">
        <v>40</v>
      </c>
      <c r="G173" s="11">
        <v>82.75</v>
      </c>
      <c r="J173" s="1">
        <v>488.59</v>
      </c>
      <c r="K173" s="1">
        <v>124</v>
      </c>
      <c r="L173" s="48">
        <v>3.9402574189999999</v>
      </c>
    </row>
    <row r="174" spans="1:12" x14ac:dyDescent="0.25">
      <c r="A174" s="41" t="s">
        <v>536</v>
      </c>
      <c r="B174" s="44" t="s">
        <v>538</v>
      </c>
      <c r="C174" s="39">
        <v>2020</v>
      </c>
      <c r="D174" s="39">
        <v>0.4</v>
      </c>
      <c r="E174" s="39">
        <v>9</v>
      </c>
      <c r="F174" s="11">
        <v>40</v>
      </c>
      <c r="G174" s="11">
        <v>35.46</v>
      </c>
      <c r="L174" s="48"/>
    </row>
    <row r="175" spans="1:12" x14ac:dyDescent="0.25">
      <c r="A175" s="41" t="s">
        <v>483</v>
      </c>
      <c r="B175" s="44" t="s">
        <v>538</v>
      </c>
      <c r="C175" s="39">
        <v>2020</v>
      </c>
      <c r="D175" s="39">
        <v>0.4</v>
      </c>
      <c r="E175" s="39">
        <v>94</v>
      </c>
      <c r="F175" s="11">
        <v>40</v>
      </c>
      <c r="G175" s="11">
        <v>370.38</v>
      </c>
      <c r="L175" s="48"/>
    </row>
    <row r="176" spans="1:12" x14ac:dyDescent="0.25">
      <c r="A176" s="41" t="s">
        <v>482</v>
      </c>
      <c r="B176" s="44" t="s">
        <v>444</v>
      </c>
      <c r="C176" s="39">
        <v>2020</v>
      </c>
      <c r="D176" s="39">
        <v>0.4</v>
      </c>
      <c r="E176" s="39">
        <v>72</v>
      </c>
      <c r="F176" s="11">
        <v>95</v>
      </c>
      <c r="G176" s="11">
        <v>844.12</v>
      </c>
      <c r="I176" s="1" t="s">
        <v>537</v>
      </c>
      <c r="J176" s="1">
        <v>1473.3732399999999</v>
      </c>
      <c r="K176" s="1">
        <v>272</v>
      </c>
      <c r="L176" s="48"/>
    </row>
    <row r="177" spans="1:15" x14ac:dyDescent="0.25">
      <c r="A177" s="41" t="s">
        <v>483</v>
      </c>
      <c r="B177" s="44" t="s">
        <v>444</v>
      </c>
      <c r="C177" s="39">
        <v>2020</v>
      </c>
      <c r="D177" s="39">
        <v>0.4</v>
      </c>
      <c r="E177" s="39">
        <v>89</v>
      </c>
      <c r="F177" s="11">
        <v>95</v>
      </c>
      <c r="G177" s="11">
        <v>280.02</v>
      </c>
      <c r="J177" s="1">
        <v>629.25800000000004</v>
      </c>
      <c r="K177" s="1">
        <v>200</v>
      </c>
      <c r="L177" s="48">
        <v>3.14629</v>
      </c>
    </row>
    <row r="178" spans="1:15" x14ac:dyDescent="0.25">
      <c r="A178" s="41" t="s">
        <v>536</v>
      </c>
      <c r="B178" s="44" t="s">
        <v>444</v>
      </c>
      <c r="C178" s="39">
        <v>2020</v>
      </c>
      <c r="D178" s="39">
        <v>0.4</v>
      </c>
      <c r="E178" s="39">
        <v>98</v>
      </c>
      <c r="F178" s="11">
        <v>95</v>
      </c>
      <c r="G178" s="11">
        <v>308.33999999999997</v>
      </c>
      <c r="L178" s="48"/>
    </row>
    <row r="179" spans="1:15" x14ac:dyDescent="0.25">
      <c r="A179" s="41" t="s">
        <v>493</v>
      </c>
      <c r="B179" s="44" t="s">
        <v>444</v>
      </c>
      <c r="C179" s="39">
        <v>2020</v>
      </c>
      <c r="D179" s="39">
        <v>0.4</v>
      </c>
      <c r="E179" s="39">
        <v>13</v>
      </c>
      <c r="F179" s="11">
        <v>95</v>
      </c>
      <c r="G179" s="11">
        <v>40.9</v>
      </c>
      <c r="L179" s="48"/>
    </row>
    <row r="180" spans="1:15" ht="17.25" customHeight="1" x14ac:dyDescent="0.25">
      <c r="A180" s="41" t="s">
        <v>485</v>
      </c>
      <c r="B180" s="44" t="s">
        <v>442</v>
      </c>
      <c r="C180" s="39">
        <v>2020</v>
      </c>
      <c r="D180" s="39">
        <v>0.4</v>
      </c>
      <c r="E180" s="39">
        <v>68.099999999999994</v>
      </c>
      <c r="F180" s="11">
        <v>20</v>
      </c>
      <c r="G180" s="11">
        <v>92.73</v>
      </c>
      <c r="I180" s="1" t="s">
        <v>535</v>
      </c>
      <c r="J180" s="1">
        <v>119.96</v>
      </c>
      <c r="K180" s="1">
        <v>88.1</v>
      </c>
      <c r="L180" s="48"/>
    </row>
    <row r="181" spans="1:15" x14ac:dyDescent="0.25">
      <c r="A181" s="41" t="s">
        <v>526</v>
      </c>
      <c r="B181" s="44" t="s">
        <v>442</v>
      </c>
      <c r="C181" s="39">
        <v>2020</v>
      </c>
      <c r="D181" s="39">
        <v>0.4</v>
      </c>
      <c r="E181" s="39">
        <v>12</v>
      </c>
      <c r="F181" s="11">
        <v>20</v>
      </c>
      <c r="G181" s="11">
        <v>16.34</v>
      </c>
      <c r="J181" s="1">
        <v>1.36</v>
      </c>
      <c r="L181" s="48"/>
    </row>
    <row r="182" spans="1:15" x14ac:dyDescent="0.25">
      <c r="A182" s="41" t="s">
        <v>525</v>
      </c>
      <c r="B182" s="44" t="s">
        <v>442</v>
      </c>
      <c r="C182" s="39">
        <v>2020</v>
      </c>
      <c r="D182" s="39">
        <v>0.4</v>
      </c>
      <c r="E182" s="39">
        <v>8</v>
      </c>
      <c r="F182" s="11">
        <v>20</v>
      </c>
      <c r="G182" s="11">
        <v>10.89</v>
      </c>
      <c r="L182" s="48"/>
    </row>
    <row r="183" spans="1:15" x14ac:dyDescent="0.25">
      <c r="A183" s="41" t="s">
        <v>487</v>
      </c>
      <c r="B183" s="44" t="s">
        <v>534</v>
      </c>
      <c r="C183" s="39">
        <v>2020</v>
      </c>
      <c r="D183" s="39">
        <v>0.4</v>
      </c>
      <c r="E183" s="39">
        <v>220</v>
      </c>
      <c r="F183" s="11">
        <v>20</v>
      </c>
      <c r="G183" s="11">
        <v>382.48</v>
      </c>
      <c r="I183" s="1">
        <v>155</v>
      </c>
      <c r="J183" s="1">
        <v>521.56866000000002</v>
      </c>
      <c r="K183" s="1">
        <v>1.7385622000000001</v>
      </c>
      <c r="L183" s="48"/>
    </row>
    <row r="184" spans="1:15" x14ac:dyDescent="0.25">
      <c r="A184" s="41" t="s">
        <v>526</v>
      </c>
      <c r="B184" s="44" t="s">
        <v>534</v>
      </c>
      <c r="C184" s="39">
        <v>2020</v>
      </c>
      <c r="D184" s="39">
        <v>0.4</v>
      </c>
      <c r="E184" s="39">
        <v>68</v>
      </c>
      <c r="F184" s="11">
        <v>20</v>
      </c>
      <c r="G184" s="50">
        <v>118.22</v>
      </c>
      <c r="H184" s="134"/>
      <c r="K184" s="1">
        <v>300</v>
      </c>
      <c r="L184" s="48"/>
    </row>
    <row r="185" spans="1:15" x14ac:dyDescent="0.25">
      <c r="A185" s="41" t="s">
        <v>525</v>
      </c>
      <c r="B185" s="44" t="s">
        <v>534</v>
      </c>
      <c r="C185" s="39">
        <v>2020</v>
      </c>
      <c r="D185" s="39">
        <v>0.4</v>
      </c>
      <c r="E185" s="39">
        <v>12</v>
      </c>
      <c r="F185" s="11">
        <v>20</v>
      </c>
      <c r="G185" s="50">
        <v>20.86</v>
      </c>
      <c r="H185" s="134"/>
      <c r="L185" s="48"/>
    </row>
    <row r="186" spans="1:15" s="54" customFormat="1" hidden="1" x14ac:dyDescent="0.25">
      <c r="A186" s="41" t="s">
        <v>518</v>
      </c>
      <c r="B186" s="44" t="s">
        <v>532</v>
      </c>
      <c r="C186" s="39">
        <v>2020</v>
      </c>
      <c r="D186" s="38">
        <v>6</v>
      </c>
      <c r="E186" s="39">
        <v>67</v>
      </c>
      <c r="F186" s="11">
        <v>250</v>
      </c>
      <c r="G186" s="50">
        <v>198.91</v>
      </c>
      <c r="H186" s="134"/>
      <c r="J186" s="54">
        <v>91.385459999999995</v>
      </c>
      <c r="K186" s="54">
        <v>140</v>
      </c>
      <c r="L186" s="55"/>
      <c r="M186" s="56" t="s">
        <v>533</v>
      </c>
      <c r="N186" s="56"/>
      <c r="O186" s="56"/>
    </row>
    <row r="187" spans="1:15" s="54" customFormat="1" hidden="1" x14ac:dyDescent="0.25">
      <c r="A187" s="41" t="s">
        <v>519</v>
      </c>
      <c r="B187" s="44" t="s">
        <v>532</v>
      </c>
      <c r="C187" s="39">
        <v>2020</v>
      </c>
      <c r="D187" s="38">
        <v>6</v>
      </c>
      <c r="E187" s="39">
        <v>36</v>
      </c>
      <c r="F187" s="11">
        <v>250</v>
      </c>
      <c r="G187" s="50">
        <v>112.67</v>
      </c>
      <c r="H187" s="134"/>
      <c r="L187" s="55"/>
      <c r="M187" s="56"/>
      <c r="N187" s="56"/>
      <c r="O187" s="56"/>
    </row>
    <row r="188" spans="1:15" s="54" customFormat="1" hidden="1" x14ac:dyDescent="0.25">
      <c r="A188" s="41" t="s">
        <v>531</v>
      </c>
      <c r="B188" s="44" t="s">
        <v>532</v>
      </c>
      <c r="C188" s="39">
        <v>2020</v>
      </c>
      <c r="D188" s="38">
        <v>6</v>
      </c>
      <c r="E188" s="39">
        <v>15</v>
      </c>
      <c r="F188" s="11">
        <v>250</v>
      </c>
      <c r="G188" s="50">
        <v>37.770000000000003</v>
      </c>
      <c r="H188" s="134"/>
      <c r="L188" s="55"/>
      <c r="M188" s="56"/>
      <c r="N188" s="56"/>
      <c r="O188" s="56"/>
    </row>
    <row r="189" spans="1:15" s="54" customFormat="1" hidden="1" x14ac:dyDescent="0.25">
      <c r="A189" s="41" t="s">
        <v>520</v>
      </c>
      <c r="B189" s="44" t="s">
        <v>532</v>
      </c>
      <c r="C189" s="39">
        <v>2020</v>
      </c>
      <c r="D189" s="38">
        <v>6</v>
      </c>
      <c r="E189" s="39">
        <v>34</v>
      </c>
      <c r="F189" s="11">
        <v>250</v>
      </c>
      <c r="G189" s="50">
        <v>369.85</v>
      </c>
      <c r="H189" s="134"/>
      <c r="L189" s="55"/>
    </row>
    <row r="190" spans="1:15" hidden="1" x14ac:dyDescent="0.25">
      <c r="A190" s="41" t="s">
        <v>518</v>
      </c>
      <c r="B190" s="44" t="s">
        <v>530</v>
      </c>
      <c r="C190" s="39">
        <v>2020</v>
      </c>
      <c r="D190" s="38">
        <v>6</v>
      </c>
      <c r="E190" s="39">
        <v>27</v>
      </c>
      <c r="F190" s="11">
        <v>250</v>
      </c>
      <c r="G190" s="53">
        <v>78.98</v>
      </c>
      <c r="H190" s="140"/>
      <c r="I190" s="52">
        <v>1566.92</v>
      </c>
      <c r="K190" s="1">
        <v>341</v>
      </c>
      <c r="L190" s="48">
        <v>4.5950651320000002</v>
      </c>
    </row>
    <row r="191" spans="1:15" hidden="1" x14ac:dyDescent="0.25">
      <c r="A191" s="41" t="s">
        <v>519</v>
      </c>
      <c r="B191" s="44" t="s">
        <v>530</v>
      </c>
      <c r="C191" s="39">
        <v>2020</v>
      </c>
      <c r="D191" s="38">
        <v>6</v>
      </c>
      <c r="E191" s="39">
        <v>15</v>
      </c>
      <c r="F191" s="11">
        <v>250</v>
      </c>
      <c r="G191" s="51">
        <v>46.76</v>
      </c>
      <c r="H191" s="140"/>
      <c r="L191" s="48"/>
    </row>
    <row r="192" spans="1:15" hidden="1" x14ac:dyDescent="0.25">
      <c r="A192" s="41" t="s">
        <v>531</v>
      </c>
      <c r="B192" s="44" t="s">
        <v>530</v>
      </c>
      <c r="C192" s="39">
        <v>2020</v>
      </c>
      <c r="D192" s="38">
        <v>6</v>
      </c>
      <c r="E192" s="39">
        <v>15</v>
      </c>
      <c r="F192" s="11">
        <v>250</v>
      </c>
      <c r="G192" s="51">
        <v>37.770000000000003</v>
      </c>
      <c r="H192" s="140"/>
      <c r="L192" s="48"/>
    </row>
    <row r="193" spans="1:12" hidden="1" x14ac:dyDescent="0.25">
      <c r="A193" s="41" t="s">
        <v>520</v>
      </c>
      <c r="B193" s="44" t="s">
        <v>530</v>
      </c>
      <c r="C193" s="39">
        <v>2020</v>
      </c>
      <c r="D193" s="38">
        <v>6</v>
      </c>
      <c r="E193" s="39">
        <v>104</v>
      </c>
      <c r="F193" s="11">
        <v>250</v>
      </c>
      <c r="G193" s="51">
        <v>1313.64</v>
      </c>
      <c r="H193" s="140"/>
      <c r="L193" s="48"/>
    </row>
    <row r="194" spans="1:12" x14ac:dyDescent="0.25">
      <c r="A194" s="41" t="s">
        <v>483</v>
      </c>
      <c r="B194" s="44" t="s">
        <v>528</v>
      </c>
      <c r="C194" s="39">
        <v>2020</v>
      </c>
      <c r="D194" s="38">
        <v>0.4</v>
      </c>
      <c r="E194" s="39">
        <v>67</v>
      </c>
      <c r="F194" s="11">
        <v>80</v>
      </c>
      <c r="G194" s="51">
        <v>129.59</v>
      </c>
      <c r="H194" s="140"/>
      <c r="L194" s="48"/>
    </row>
    <row r="195" spans="1:12" x14ac:dyDescent="0.25">
      <c r="A195" s="41" t="s">
        <v>493</v>
      </c>
      <c r="B195" s="44" t="s">
        <v>528</v>
      </c>
      <c r="C195" s="39">
        <v>2020</v>
      </c>
      <c r="D195" s="38">
        <v>0.4</v>
      </c>
      <c r="E195" s="39">
        <v>38</v>
      </c>
      <c r="F195" s="11">
        <v>80</v>
      </c>
      <c r="G195" s="51">
        <v>80.650000000000006</v>
      </c>
      <c r="H195" s="140"/>
      <c r="J195" s="1">
        <v>2931.2426999999998</v>
      </c>
      <c r="K195" s="1">
        <v>479</v>
      </c>
      <c r="L195" s="48"/>
    </row>
    <row r="196" spans="1:12" x14ac:dyDescent="0.25">
      <c r="A196" s="41" t="s">
        <v>529</v>
      </c>
      <c r="B196" s="44" t="s">
        <v>528</v>
      </c>
      <c r="C196" s="39">
        <v>2020</v>
      </c>
      <c r="D196" s="38">
        <v>0.4</v>
      </c>
      <c r="E196" s="39">
        <v>9</v>
      </c>
      <c r="F196" s="11">
        <v>80</v>
      </c>
      <c r="G196" s="51">
        <v>8.91</v>
      </c>
      <c r="H196" s="140"/>
      <c r="L196" s="48"/>
    </row>
    <row r="197" spans="1:12" x14ac:dyDescent="0.25">
      <c r="A197" s="41" t="s">
        <v>482</v>
      </c>
      <c r="B197" s="44" t="s">
        <v>528</v>
      </c>
      <c r="C197" s="39">
        <v>2020</v>
      </c>
      <c r="D197" s="38">
        <v>0.4</v>
      </c>
      <c r="E197" s="39">
        <v>34</v>
      </c>
      <c r="F197" s="11">
        <v>80</v>
      </c>
      <c r="G197" s="51">
        <v>325.19</v>
      </c>
      <c r="H197" s="140"/>
      <c r="L197" s="48"/>
    </row>
    <row r="198" spans="1:12" x14ac:dyDescent="0.25">
      <c r="A198" s="41" t="s">
        <v>487</v>
      </c>
      <c r="B198" s="44" t="s">
        <v>527</v>
      </c>
      <c r="C198" s="39">
        <v>2020</v>
      </c>
      <c r="D198" s="39">
        <v>0.4</v>
      </c>
      <c r="E198" s="39">
        <v>71</v>
      </c>
      <c r="F198" s="11">
        <v>40</v>
      </c>
      <c r="G198" s="50">
        <v>46.35</v>
      </c>
      <c r="H198" s="134"/>
      <c r="J198" s="1">
        <v>0.65275328600000004</v>
      </c>
      <c r="L198" s="48"/>
    </row>
    <row r="199" spans="1:12" x14ac:dyDescent="0.25">
      <c r="A199" s="41" t="s">
        <v>526</v>
      </c>
      <c r="B199" s="44" t="s">
        <v>527</v>
      </c>
      <c r="C199" s="39">
        <v>2020</v>
      </c>
      <c r="D199" s="39">
        <v>0.4</v>
      </c>
      <c r="E199" s="39">
        <v>48</v>
      </c>
      <c r="F199" s="11">
        <v>40</v>
      </c>
      <c r="G199" s="50">
        <v>31.33</v>
      </c>
      <c r="H199" s="134"/>
      <c r="L199" s="48"/>
    </row>
    <row r="200" spans="1:12" x14ac:dyDescent="0.25">
      <c r="A200" s="41" t="s">
        <v>525</v>
      </c>
      <c r="B200" s="44" t="s">
        <v>527</v>
      </c>
      <c r="C200" s="39">
        <v>2020</v>
      </c>
      <c r="D200" s="39">
        <v>0.4</v>
      </c>
      <c r="E200" s="39">
        <v>21</v>
      </c>
      <c r="F200" s="11">
        <v>40</v>
      </c>
      <c r="G200" s="50">
        <v>13.71</v>
      </c>
      <c r="H200" s="134"/>
      <c r="K200" s="1">
        <v>683560.57</v>
      </c>
      <c r="L200" s="48"/>
    </row>
    <row r="201" spans="1:12" x14ac:dyDescent="0.25">
      <c r="A201" s="41" t="s">
        <v>487</v>
      </c>
      <c r="B201" s="44" t="s">
        <v>524</v>
      </c>
      <c r="C201" s="39">
        <v>2020</v>
      </c>
      <c r="D201" s="39">
        <v>0.4</v>
      </c>
      <c r="E201" s="39">
        <v>81</v>
      </c>
      <c r="F201" s="11">
        <v>10</v>
      </c>
      <c r="G201" s="50">
        <v>217.86</v>
      </c>
      <c r="H201" s="134"/>
      <c r="J201" s="1">
        <v>766.54157999999995</v>
      </c>
      <c r="K201" s="1">
        <v>95</v>
      </c>
      <c r="L201" s="48">
        <v>8.0688587369999993</v>
      </c>
    </row>
    <row r="202" spans="1:12" x14ac:dyDescent="0.25">
      <c r="A202" s="41" t="s">
        <v>526</v>
      </c>
      <c r="B202" s="44" t="s">
        <v>524</v>
      </c>
      <c r="C202" s="39">
        <v>2020</v>
      </c>
      <c r="D202" s="39">
        <v>0.4</v>
      </c>
      <c r="E202" s="39">
        <v>189</v>
      </c>
      <c r="F202" s="11">
        <v>10</v>
      </c>
      <c r="G202" s="50">
        <v>508.34</v>
      </c>
      <c r="H202" s="134"/>
      <c r="L202" s="48"/>
    </row>
    <row r="203" spans="1:12" x14ac:dyDescent="0.25">
      <c r="A203" s="41" t="s">
        <v>525</v>
      </c>
      <c r="B203" s="44" t="s">
        <v>524</v>
      </c>
      <c r="C203" s="39">
        <v>2020</v>
      </c>
      <c r="D203" s="39">
        <v>0.4</v>
      </c>
      <c r="E203" s="39">
        <v>5</v>
      </c>
      <c r="F203" s="11">
        <v>10</v>
      </c>
      <c r="G203" s="50">
        <v>40.340000000000003</v>
      </c>
      <c r="H203" s="134"/>
      <c r="L203" s="48"/>
    </row>
    <row r="204" spans="1:12" x14ac:dyDescent="0.25">
      <c r="A204" s="41" t="s">
        <v>482</v>
      </c>
      <c r="B204" s="44" t="s">
        <v>523</v>
      </c>
      <c r="C204" s="39">
        <v>2020</v>
      </c>
      <c r="D204" s="39">
        <v>0.4</v>
      </c>
      <c r="E204" s="38">
        <f>3*29</f>
        <v>87</v>
      </c>
      <c r="F204" s="11">
        <v>100</v>
      </c>
      <c r="G204" s="49">
        <v>311.47000000000003</v>
      </c>
      <c r="H204" s="144"/>
      <c r="J204" s="1">
        <v>488.51</v>
      </c>
      <c r="K204" s="1" t="e">
        <f>J204/#REF!</f>
        <v>#REF!</v>
      </c>
      <c r="L204" s="48"/>
    </row>
    <row r="205" spans="1:12" x14ac:dyDescent="0.25">
      <c r="A205" s="41" t="s">
        <v>493</v>
      </c>
      <c r="B205" s="44" t="s">
        <v>522</v>
      </c>
      <c r="C205" s="39">
        <v>2020</v>
      </c>
      <c r="D205" s="39">
        <v>0.4</v>
      </c>
      <c r="E205" s="38">
        <v>41</v>
      </c>
      <c r="F205" s="11">
        <v>100</v>
      </c>
      <c r="G205" s="49">
        <v>408.75</v>
      </c>
      <c r="H205" s="144"/>
      <c r="L205" s="48"/>
    </row>
    <row r="206" spans="1:12" x14ac:dyDescent="0.25">
      <c r="A206" s="41" t="s">
        <v>483</v>
      </c>
      <c r="B206" s="44" t="s">
        <v>522</v>
      </c>
      <c r="C206" s="39">
        <v>2020</v>
      </c>
      <c r="D206" s="39">
        <v>0.4</v>
      </c>
      <c r="E206" s="38">
        <v>8</v>
      </c>
      <c r="F206" s="11">
        <v>100</v>
      </c>
      <c r="G206" s="49">
        <v>79.760000000000005</v>
      </c>
      <c r="H206" s="144"/>
      <c r="J206" s="1">
        <v>311.47000000000003</v>
      </c>
      <c r="K206" s="1" t="e">
        <f>#REF!-J206</f>
        <v>#REF!</v>
      </c>
      <c r="L206" s="48"/>
    </row>
    <row r="207" spans="1:12" x14ac:dyDescent="0.25">
      <c r="A207" s="41" t="s">
        <v>482</v>
      </c>
      <c r="B207" s="44" t="s">
        <v>521</v>
      </c>
      <c r="C207" s="39">
        <v>2020</v>
      </c>
      <c r="D207" s="39">
        <v>0.4</v>
      </c>
      <c r="E207" s="38">
        <v>87</v>
      </c>
      <c r="F207" s="11">
        <v>100</v>
      </c>
      <c r="G207" s="49">
        <v>311.47000000000003</v>
      </c>
      <c r="H207" s="144"/>
      <c r="L207" s="48"/>
    </row>
    <row r="208" spans="1:12" x14ac:dyDescent="0.25">
      <c r="A208" s="41" t="s">
        <v>493</v>
      </c>
      <c r="B208" s="44" t="s">
        <v>521</v>
      </c>
      <c r="C208" s="39">
        <v>2020</v>
      </c>
      <c r="D208" s="39">
        <v>0.4</v>
      </c>
      <c r="E208" s="38">
        <v>41</v>
      </c>
      <c r="F208" s="11">
        <v>100</v>
      </c>
      <c r="G208" s="49">
        <v>408.75</v>
      </c>
      <c r="H208" s="144"/>
      <c r="L208" s="48"/>
    </row>
    <row r="209" spans="1:12" x14ac:dyDescent="0.25">
      <c r="A209" s="41" t="s">
        <v>483</v>
      </c>
      <c r="B209" s="44" t="s">
        <v>521</v>
      </c>
      <c r="C209" s="39">
        <v>2020</v>
      </c>
      <c r="D209" s="39">
        <v>0.4</v>
      </c>
      <c r="E209" s="38">
        <v>8</v>
      </c>
      <c r="F209" s="11">
        <v>100</v>
      </c>
      <c r="G209" s="49">
        <v>79.760000000000005</v>
      </c>
      <c r="H209" s="144"/>
      <c r="L209" s="48"/>
    </row>
    <row r="210" spans="1:12" hidden="1" x14ac:dyDescent="0.25">
      <c r="A210" s="41" t="s">
        <v>520</v>
      </c>
      <c r="B210" s="44" t="s">
        <v>517</v>
      </c>
      <c r="C210" s="39">
        <v>2020</v>
      </c>
      <c r="D210" s="39">
        <v>6</v>
      </c>
      <c r="E210" s="38">
        <f>3*8</f>
        <v>24</v>
      </c>
      <c r="F210" s="11">
        <v>300</v>
      </c>
      <c r="G210" s="42">
        <v>263.57</v>
      </c>
      <c r="H210" s="145"/>
      <c r="J210" s="15"/>
      <c r="K210" s="1">
        <v>223</v>
      </c>
      <c r="L210" s="48"/>
    </row>
    <row r="211" spans="1:12" hidden="1" x14ac:dyDescent="0.25">
      <c r="A211" s="41" t="s">
        <v>519</v>
      </c>
      <c r="B211" s="44" t="s">
        <v>517</v>
      </c>
      <c r="C211" s="39">
        <v>2020</v>
      </c>
      <c r="D211" s="39">
        <v>6</v>
      </c>
      <c r="E211" s="38">
        <v>29</v>
      </c>
      <c r="F211" s="11">
        <v>300</v>
      </c>
      <c r="G211" s="42">
        <v>72.650000000000006</v>
      </c>
      <c r="H211" s="145"/>
      <c r="K211" s="1" t="e">
        <f>#REF!/K210</f>
        <v>#REF!</v>
      </c>
      <c r="L211" s="48"/>
    </row>
    <row r="212" spans="1:12" ht="15.75" hidden="1" customHeight="1" x14ac:dyDescent="0.25">
      <c r="A212" s="41" t="s">
        <v>518</v>
      </c>
      <c r="B212" s="44" t="s">
        <v>517</v>
      </c>
      <c r="C212" s="39">
        <v>2020</v>
      </c>
      <c r="D212" s="39">
        <v>6</v>
      </c>
      <c r="E212" s="38">
        <f>3*10</f>
        <v>30</v>
      </c>
      <c r="F212" s="11">
        <v>300</v>
      </c>
      <c r="G212" s="42">
        <v>42.74</v>
      </c>
      <c r="H212" s="145"/>
    </row>
    <row r="213" spans="1:12" ht="15.75" customHeight="1" x14ac:dyDescent="0.25">
      <c r="A213" s="41" t="s">
        <v>516</v>
      </c>
      <c r="B213" s="44" t="s">
        <v>429</v>
      </c>
      <c r="C213" s="39">
        <v>2021</v>
      </c>
      <c r="D213" s="39">
        <v>0.4</v>
      </c>
      <c r="E213" s="38">
        <v>65</v>
      </c>
      <c r="F213" s="11">
        <v>15</v>
      </c>
      <c r="G213" s="42">
        <v>43.040199999999999</v>
      </c>
      <c r="H213" s="145"/>
      <c r="I213" s="1" t="s">
        <v>428</v>
      </c>
    </row>
    <row r="214" spans="1:12" ht="15.75" customHeight="1" x14ac:dyDescent="0.25">
      <c r="A214" s="41" t="s">
        <v>483</v>
      </c>
      <c r="B214" s="44" t="s">
        <v>427</v>
      </c>
      <c r="C214" s="39">
        <v>2021</v>
      </c>
      <c r="D214" s="39">
        <v>0.4</v>
      </c>
      <c r="E214" s="38">
        <v>145</v>
      </c>
      <c r="F214" s="11">
        <v>100</v>
      </c>
      <c r="G214" s="42">
        <v>426.01499999999999</v>
      </c>
      <c r="H214" s="145"/>
      <c r="I214" s="1" t="s">
        <v>426</v>
      </c>
    </row>
    <row r="215" spans="1:12" ht="15.75" customHeight="1" x14ac:dyDescent="0.25">
      <c r="A215" s="41" t="s">
        <v>482</v>
      </c>
      <c r="B215" s="44" t="s">
        <v>427</v>
      </c>
      <c r="C215" s="39">
        <v>2021</v>
      </c>
      <c r="D215" s="39">
        <v>0.4</v>
      </c>
      <c r="E215" s="38">
        <v>103</v>
      </c>
      <c r="F215" s="11">
        <v>100</v>
      </c>
      <c r="G215" s="42">
        <v>1102.3800000000001</v>
      </c>
      <c r="H215" s="145"/>
    </row>
    <row r="216" spans="1:12" ht="15.75" customHeight="1" x14ac:dyDescent="0.25">
      <c r="A216" s="47" t="s">
        <v>483</v>
      </c>
      <c r="B216" s="46" t="s">
        <v>515</v>
      </c>
      <c r="C216" s="45">
        <v>2021</v>
      </c>
      <c r="D216" s="45">
        <v>0.4</v>
      </c>
      <c r="E216" s="38">
        <v>135</v>
      </c>
      <c r="F216" s="11">
        <v>70</v>
      </c>
      <c r="G216" s="42">
        <v>366.88200000000001</v>
      </c>
      <c r="H216" s="145"/>
      <c r="I216" s="1" t="s">
        <v>420</v>
      </c>
    </row>
    <row r="217" spans="1:12" ht="15.75" customHeight="1" x14ac:dyDescent="0.25">
      <c r="A217" s="47" t="s">
        <v>482</v>
      </c>
      <c r="B217" s="46" t="s">
        <v>515</v>
      </c>
      <c r="C217" s="45">
        <v>2021</v>
      </c>
      <c r="D217" s="45">
        <v>0.4</v>
      </c>
      <c r="E217" s="38">
        <v>63</v>
      </c>
      <c r="F217" s="11">
        <v>70</v>
      </c>
      <c r="G217" s="42">
        <v>690.91800000000001</v>
      </c>
      <c r="H217" s="145"/>
      <c r="J217" s="1" t="s">
        <v>501</v>
      </c>
    </row>
    <row r="218" spans="1:12" ht="15.75" customHeight="1" x14ac:dyDescent="0.25">
      <c r="A218" s="47" t="s">
        <v>487</v>
      </c>
      <c r="B218" s="46" t="s">
        <v>515</v>
      </c>
      <c r="C218" s="45">
        <v>2021</v>
      </c>
      <c r="D218" s="45">
        <v>0.4</v>
      </c>
      <c r="E218" s="38">
        <v>43</v>
      </c>
      <c r="F218" s="11">
        <v>70</v>
      </c>
      <c r="G218" s="42">
        <v>150.73599999999999</v>
      </c>
      <c r="H218" s="145"/>
    </row>
    <row r="219" spans="1:12" ht="15.75" customHeight="1" x14ac:dyDescent="0.25">
      <c r="A219" s="47" t="s">
        <v>486</v>
      </c>
      <c r="B219" s="46" t="s">
        <v>515</v>
      </c>
      <c r="C219" s="45">
        <v>2021</v>
      </c>
      <c r="D219" s="45">
        <v>0.4</v>
      </c>
      <c r="E219" s="38">
        <v>22</v>
      </c>
      <c r="F219" s="11">
        <v>70</v>
      </c>
      <c r="G219" s="42">
        <v>316.93599999999998</v>
      </c>
      <c r="H219" s="145"/>
      <c r="I219" s="1">
        <v>1525470.7</v>
      </c>
      <c r="J219" s="1" t="s">
        <v>513</v>
      </c>
    </row>
    <row r="220" spans="1:12" ht="15.75" hidden="1" customHeight="1" x14ac:dyDescent="0.25">
      <c r="A220" s="47" t="s">
        <v>484</v>
      </c>
      <c r="B220" s="46" t="s">
        <v>514</v>
      </c>
      <c r="C220" s="45">
        <v>2021</v>
      </c>
      <c r="D220" s="45">
        <v>10</v>
      </c>
      <c r="E220" s="38">
        <v>156</v>
      </c>
      <c r="F220" s="11">
        <v>100</v>
      </c>
      <c r="G220" s="42">
        <v>89.548900000000003</v>
      </c>
      <c r="H220" s="145"/>
      <c r="I220" s="1" t="s">
        <v>361</v>
      </c>
    </row>
    <row r="221" spans="1:12" ht="15.75" customHeight="1" x14ac:dyDescent="0.25">
      <c r="A221" s="47" t="s">
        <v>483</v>
      </c>
      <c r="B221" s="46" t="s">
        <v>416</v>
      </c>
      <c r="C221" s="45">
        <v>2021</v>
      </c>
      <c r="D221" s="45">
        <v>0.4</v>
      </c>
      <c r="E221" s="38">
        <v>234</v>
      </c>
      <c r="F221" s="11">
        <v>40</v>
      </c>
      <c r="G221" s="42">
        <v>360.67500000000001</v>
      </c>
      <c r="H221" s="145"/>
      <c r="I221" s="1" t="s">
        <v>415</v>
      </c>
    </row>
    <row r="222" spans="1:12" ht="15.75" customHeight="1" x14ac:dyDescent="0.25">
      <c r="A222" s="47" t="s">
        <v>482</v>
      </c>
      <c r="B222" s="46" t="s">
        <v>416</v>
      </c>
      <c r="C222" s="45">
        <v>2021</v>
      </c>
      <c r="D222" s="45">
        <v>0.4</v>
      </c>
      <c r="E222" s="38">
        <v>34</v>
      </c>
      <c r="F222" s="11">
        <v>40</v>
      </c>
      <c r="G222" s="42">
        <v>349.78699999999998</v>
      </c>
      <c r="H222" s="145"/>
      <c r="I222" s="1">
        <v>1633840.08</v>
      </c>
      <c r="J222" s="1" t="s">
        <v>501</v>
      </c>
    </row>
    <row r="223" spans="1:12" ht="15.75" customHeight="1" x14ac:dyDescent="0.25">
      <c r="A223" s="47" t="s">
        <v>487</v>
      </c>
      <c r="B223" s="46" t="s">
        <v>416</v>
      </c>
      <c r="C223" s="45">
        <v>2021</v>
      </c>
      <c r="D223" s="45">
        <v>0.4</v>
      </c>
      <c r="E223" s="38">
        <v>40</v>
      </c>
      <c r="F223" s="11">
        <v>40</v>
      </c>
      <c r="G223" s="42">
        <v>344.62</v>
      </c>
      <c r="H223" s="145"/>
    </row>
    <row r="224" spans="1:12" ht="15.75" customHeight="1" x14ac:dyDescent="0.25">
      <c r="A224" s="47" t="s">
        <v>486</v>
      </c>
      <c r="B224" s="46" t="s">
        <v>416</v>
      </c>
      <c r="C224" s="45">
        <v>2021</v>
      </c>
      <c r="D224" s="45">
        <v>0.4</v>
      </c>
      <c r="E224" s="38">
        <v>43</v>
      </c>
      <c r="F224" s="11">
        <v>40</v>
      </c>
      <c r="G224" s="42">
        <v>578.75699999999995</v>
      </c>
      <c r="H224" s="145"/>
      <c r="J224" s="1" t="s">
        <v>513</v>
      </c>
    </row>
    <row r="225" spans="1:10" ht="15.75" hidden="1" customHeight="1" x14ac:dyDescent="0.25">
      <c r="A225" s="47" t="s">
        <v>487</v>
      </c>
      <c r="B225" s="46" t="s">
        <v>511</v>
      </c>
      <c r="C225" s="45">
        <v>2021</v>
      </c>
      <c r="D225" s="45">
        <v>6</v>
      </c>
      <c r="E225" s="38">
        <v>266</v>
      </c>
      <c r="F225" s="11">
        <v>30</v>
      </c>
      <c r="G225" s="42">
        <v>603.80200000000002</v>
      </c>
      <c r="H225" s="145"/>
      <c r="I225" s="1" t="s">
        <v>358</v>
      </c>
      <c r="J225" s="1" t="s">
        <v>512</v>
      </c>
    </row>
    <row r="226" spans="1:10" ht="15.75" hidden="1" customHeight="1" x14ac:dyDescent="0.25">
      <c r="A226" s="47" t="s">
        <v>486</v>
      </c>
      <c r="B226" s="46" t="s">
        <v>511</v>
      </c>
      <c r="C226" s="45">
        <v>2021</v>
      </c>
      <c r="D226" s="45">
        <v>6</v>
      </c>
      <c r="E226" s="38">
        <v>50</v>
      </c>
      <c r="F226" s="11">
        <v>30</v>
      </c>
      <c r="G226" s="42">
        <v>750.27700000000004</v>
      </c>
      <c r="H226" s="145"/>
      <c r="J226" s="1" t="s">
        <v>510</v>
      </c>
    </row>
    <row r="227" spans="1:10" ht="15.75" customHeight="1" x14ac:dyDescent="0.25">
      <c r="A227" s="47" t="s">
        <v>483</v>
      </c>
      <c r="B227" s="46" t="s">
        <v>410</v>
      </c>
      <c r="C227" s="45">
        <v>2021</v>
      </c>
      <c r="D227" s="45">
        <v>0.4</v>
      </c>
      <c r="E227" s="38">
        <v>226</v>
      </c>
      <c r="F227" s="11">
        <v>50</v>
      </c>
      <c r="G227" s="42">
        <v>630.51400000000001</v>
      </c>
      <c r="H227" s="145"/>
      <c r="I227" s="1" t="s">
        <v>409</v>
      </c>
      <c r="J227" s="1" t="s">
        <v>501</v>
      </c>
    </row>
    <row r="228" spans="1:10" ht="15.75" customHeight="1" x14ac:dyDescent="0.25">
      <c r="A228" s="47" t="s">
        <v>482</v>
      </c>
      <c r="B228" s="46" t="s">
        <v>410</v>
      </c>
      <c r="C228" s="45">
        <v>2021</v>
      </c>
      <c r="D228" s="45">
        <v>0.4</v>
      </c>
      <c r="E228" s="38">
        <v>29</v>
      </c>
      <c r="F228" s="11">
        <v>50</v>
      </c>
      <c r="G228" s="42">
        <v>501.66500000000002</v>
      </c>
      <c r="H228" s="145"/>
    </row>
    <row r="229" spans="1:10" ht="15.75" customHeight="1" x14ac:dyDescent="0.25">
      <c r="A229" s="47" t="s">
        <v>509</v>
      </c>
      <c r="B229" s="46" t="s">
        <v>507</v>
      </c>
      <c r="C229" s="45">
        <v>2021</v>
      </c>
      <c r="D229" s="45">
        <v>0.4</v>
      </c>
      <c r="E229" s="38">
        <v>73</v>
      </c>
      <c r="F229" s="11">
        <v>30</v>
      </c>
      <c r="G229" s="42">
        <v>195.86</v>
      </c>
      <c r="H229" s="145"/>
      <c r="I229" s="1" t="s">
        <v>506</v>
      </c>
    </row>
    <row r="230" spans="1:10" ht="15.75" customHeight="1" x14ac:dyDescent="0.25">
      <c r="A230" s="47" t="s">
        <v>508</v>
      </c>
      <c r="B230" s="46" t="s">
        <v>507</v>
      </c>
      <c r="C230" s="45">
        <v>2021</v>
      </c>
      <c r="D230" s="45">
        <v>0.4</v>
      </c>
      <c r="E230" s="38">
        <v>42</v>
      </c>
      <c r="F230" s="11">
        <v>30</v>
      </c>
      <c r="G230" s="42">
        <v>587.30100000000004</v>
      </c>
      <c r="H230" s="145"/>
      <c r="I230" s="1" t="s">
        <v>506</v>
      </c>
    </row>
    <row r="231" spans="1:10" ht="15.75" customHeight="1" x14ac:dyDescent="0.25">
      <c r="A231" s="47" t="s">
        <v>483</v>
      </c>
      <c r="B231" s="46" t="s">
        <v>408</v>
      </c>
      <c r="C231" s="45">
        <v>2021</v>
      </c>
      <c r="D231" s="45">
        <v>0.4</v>
      </c>
      <c r="E231" s="38">
        <v>157</v>
      </c>
      <c r="F231" s="11">
        <v>140</v>
      </c>
      <c r="G231" s="42">
        <v>531.41899999999998</v>
      </c>
      <c r="H231" s="145"/>
      <c r="I231" s="1" t="s">
        <v>505</v>
      </c>
      <c r="J231" s="1">
        <v>23630.44</v>
      </c>
    </row>
    <row r="232" spans="1:10" ht="15.75" customHeight="1" x14ac:dyDescent="0.25">
      <c r="A232" s="47" t="s">
        <v>482</v>
      </c>
      <c r="B232" s="46" t="s">
        <v>408</v>
      </c>
      <c r="C232" s="45">
        <v>2021</v>
      </c>
      <c r="D232" s="45">
        <v>0.4</v>
      </c>
      <c r="E232" s="38">
        <v>20</v>
      </c>
      <c r="F232" s="11">
        <v>140</v>
      </c>
      <c r="G232" s="42">
        <v>238.88499999999999</v>
      </c>
      <c r="H232" s="145"/>
      <c r="I232" s="1" t="s">
        <v>501</v>
      </c>
      <c r="J232" s="1">
        <v>24904.62</v>
      </c>
    </row>
    <row r="233" spans="1:10" ht="15.75" hidden="1" customHeight="1" x14ac:dyDescent="0.25">
      <c r="A233" s="47" t="s">
        <v>484</v>
      </c>
      <c r="B233" s="46" t="s">
        <v>504</v>
      </c>
      <c r="C233" s="45">
        <v>2021</v>
      </c>
      <c r="D233" s="45">
        <v>6</v>
      </c>
      <c r="E233" s="38">
        <v>330</v>
      </c>
      <c r="F233" s="11">
        <v>150</v>
      </c>
      <c r="G233" s="42">
        <v>840.44</v>
      </c>
      <c r="H233" s="145"/>
      <c r="I233" s="1" t="s">
        <v>353</v>
      </c>
    </row>
    <row r="234" spans="1:10" ht="15.75" customHeight="1" x14ac:dyDescent="0.25">
      <c r="A234" s="47" t="s">
        <v>483</v>
      </c>
      <c r="B234" s="46" t="s">
        <v>502</v>
      </c>
      <c r="C234" s="45">
        <v>2021</v>
      </c>
      <c r="D234" s="45">
        <v>0.4</v>
      </c>
      <c r="E234" s="38">
        <v>180</v>
      </c>
      <c r="F234" s="11">
        <v>40</v>
      </c>
      <c r="G234" s="42">
        <v>391.59199999999998</v>
      </c>
      <c r="H234" s="145"/>
      <c r="I234" s="1" t="s">
        <v>503</v>
      </c>
    </row>
    <row r="235" spans="1:10" ht="15.75" customHeight="1" x14ac:dyDescent="0.25">
      <c r="A235" s="47" t="s">
        <v>482</v>
      </c>
      <c r="B235" s="46" t="s">
        <v>502</v>
      </c>
      <c r="C235" s="45">
        <v>2021</v>
      </c>
      <c r="D235" s="45">
        <v>0.4</v>
      </c>
      <c r="E235" s="38">
        <v>30</v>
      </c>
      <c r="F235" s="11">
        <v>40</v>
      </c>
      <c r="G235" s="42">
        <v>358.017</v>
      </c>
      <c r="H235" s="145"/>
      <c r="I235" s="1" t="s">
        <v>501</v>
      </c>
    </row>
    <row r="236" spans="1:10" ht="15.75" customHeight="1" x14ac:dyDescent="0.25">
      <c r="A236" s="47" t="s">
        <v>483</v>
      </c>
      <c r="B236" s="46" t="s">
        <v>500</v>
      </c>
      <c r="C236" s="45">
        <v>2021</v>
      </c>
      <c r="D236" s="45">
        <v>0.4</v>
      </c>
      <c r="E236" s="38">
        <v>26</v>
      </c>
      <c r="F236" s="11">
        <v>50</v>
      </c>
      <c r="G236" s="42">
        <v>113.44</v>
      </c>
      <c r="H236" s="145"/>
      <c r="I236" s="1" t="s">
        <v>417</v>
      </c>
    </row>
    <row r="237" spans="1:10" ht="15.75" customHeight="1" x14ac:dyDescent="0.25">
      <c r="A237" s="41" t="s">
        <v>483</v>
      </c>
      <c r="B237" s="44" t="s">
        <v>402</v>
      </c>
      <c r="C237" s="39">
        <v>2021</v>
      </c>
      <c r="D237" s="39">
        <v>0.4</v>
      </c>
      <c r="E237" s="38">
        <v>177</v>
      </c>
      <c r="F237" s="11">
        <v>200</v>
      </c>
      <c r="G237" s="42">
        <v>447.87599999999998</v>
      </c>
      <c r="H237" s="145"/>
      <c r="I237" s="1" t="s">
        <v>499</v>
      </c>
    </row>
    <row r="238" spans="1:10" ht="15.75" customHeight="1" x14ac:dyDescent="0.25">
      <c r="A238" s="41" t="s">
        <v>482</v>
      </c>
      <c r="B238" s="44" t="s">
        <v>402</v>
      </c>
      <c r="C238" s="39">
        <v>2021</v>
      </c>
      <c r="D238" s="39">
        <v>0.4</v>
      </c>
      <c r="E238" s="38">
        <v>123</v>
      </c>
      <c r="F238" s="11">
        <v>200</v>
      </c>
      <c r="G238" s="42">
        <v>2771.76</v>
      </c>
      <c r="H238" s="145"/>
      <c r="I238" s="1" t="s">
        <v>498</v>
      </c>
      <c r="J238" s="1" t="s">
        <v>497</v>
      </c>
    </row>
    <row r="239" spans="1:10" ht="20.100000000000001" hidden="1" customHeight="1" x14ac:dyDescent="0.25">
      <c r="A239" s="41" t="s">
        <v>483</v>
      </c>
      <c r="B239" s="44" t="s">
        <v>496</v>
      </c>
      <c r="C239" s="39">
        <v>2021</v>
      </c>
      <c r="D239" s="39">
        <v>6</v>
      </c>
      <c r="E239" s="38">
        <v>26</v>
      </c>
      <c r="F239" s="11">
        <v>892</v>
      </c>
      <c r="G239" s="42">
        <v>76.820300000000003</v>
      </c>
      <c r="H239" s="145"/>
      <c r="I239" s="1" t="s">
        <v>495</v>
      </c>
      <c r="J239" s="1" t="s">
        <v>494</v>
      </c>
    </row>
    <row r="240" spans="1:10" ht="20.100000000000001" customHeight="1" x14ac:dyDescent="0.25">
      <c r="A240" s="41" t="s">
        <v>483</v>
      </c>
      <c r="B240" s="40" t="s">
        <v>395</v>
      </c>
      <c r="C240" s="43">
        <v>2022</v>
      </c>
      <c r="D240" s="39">
        <v>0.4</v>
      </c>
      <c r="E240" s="38">
        <v>198</v>
      </c>
      <c r="F240" s="11">
        <v>100</v>
      </c>
      <c r="G240" s="42">
        <v>39.807885000000006</v>
      </c>
      <c r="H240" s="145"/>
    </row>
    <row r="241" spans="1:9" ht="20.100000000000001" customHeight="1" x14ac:dyDescent="0.25">
      <c r="A241" s="47" t="s">
        <v>483</v>
      </c>
      <c r="B241" s="85" t="s">
        <v>395</v>
      </c>
      <c r="C241" s="45">
        <v>2022</v>
      </c>
      <c r="D241" s="39">
        <v>0.4</v>
      </c>
      <c r="E241" s="86"/>
      <c r="F241" s="50"/>
      <c r="G241" s="42">
        <v>39.807885000000006</v>
      </c>
      <c r="H241" s="145"/>
    </row>
    <row r="242" spans="1:9" ht="20.100000000000001" customHeight="1" thickBot="1" x14ac:dyDescent="0.3">
      <c r="A242" s="47" t="s">
        <v>483</v>
      </c>
      <c r="B242" s="85" t="s">
        <v>391</v>
      </c>
      <c r="C242" s="45">
        <v>2022</v>
      </c>
      <c r="D242" s="45">
        <v>0.4</v>
      </c>
      <c r="E242" s="86">
        <v>177</v>
      </c>
      <c r="F242" s="50">
        <v>135</v>
      </c>
      <c r="G242" s="42">
        <v>40.693985925925929</v>
      </c>
      <c r="H242" s="145"/>
    </row>
    <row r="243" spans="1:9" ht="20.100000000000001" hidden="1" customHeight="1" x14ac:dyDescent="0.25">
      <c r="A243" s="47" t="s">
        <v>687</v>
      </c>
      <c r="B243" s="85" t="s">
        <v>96</v>
      </c>
      <c r="C243" s="45">
        <v>2022</v>
      </c>
      <c r="D243" s="45">
        <v>10</v>
      </c>
      <c r="E243" s="86">
        <v>176</v>
      </c>
      <c r="F243" s="50">
        <v>232.5</v>
      </c>
      <c r="G243" s="42">
        <v>79.966978064516127</v>
      </c>
      <c r="H243" s="145"/>
    </row>
    <row r="244" spans="1:9" ht="20.100000000000001" hidden="1" customHeight="1" x14ac:dyDescent="0.25">
      <c r="A244" s="47" t="s">
        <v>687</v>
      </c>
      <c r="B244" s="85" t="s">
        <v>95</v>
      </c>
      <c r="C244" s="45">
        <v>2022</v>
      </c>
      <c r="D244" s="45">
        <v>10</v>
      </c>
      <c r="E244" s="86"/>
      <c r="F244" s="50"/>
      <c r="G244" s="42">
        <v>79.966978064516127</v>
      </c>
      <c r="H244" s="145"/>
    </row>
    <row r="245" spans="1:9" ht="20.100000000000001" hidden="1" customHeight="1" thickBot="1" x14ac:dyDescent="0.3">
      <c r="A245" s="47" t="s">
        <v>687</v>
      </c>
      <c r="B245" s="85" t="s">
        <v>94</v>
      </c>
      <c r="C245" s="45">
        <v>2022</v>
      </c>
      <c r="D245" s="45">
        <v>10</v>
      </c>
      <c r="E245" s="86"/>
      <c r="F245" s="50"/>
      <c r="G245" s="42">
        <v>26.655659354838711</v>
      </c>
      <c r="H245" s="145"/>
    </row>
    <row r="246" spans="1:9" ht="20.100000000000001" customHeight="1" x14ac:dyDescent="0.25">
      <c r="A246" s="119" t="s">
        <v>712</v>
      </c>
      <c r="B246" s="86" t="s">
        <v>395</v>
      </c>
      <c r="C246" s="120">
        <v>2022</v>
      </c>
      <c r="D246" s="336">
        <v>0.4</v>
      </c>
      <c r="E246" s="327">
        <v>198</v>
      </c>
      <c r="F246" s="336">
        <f>50+20+15+15</f>
        <v>100</v>
      </c>
      <c r="G246" s="121">
        <v>132.69295000000002</v>
      </c>
      <c r="H246" s="145"/>
      <c r="I246" s="1" t="s">
        <v>711</v>
      </c>
    </row>
    <row r="247" spans="1:9" ht="20.100000000000001" hidden="1" customHeight="1" x14ac:dyDescent="0.25">
      <c r="A247" s="119" t="s">
        <v>712</v>
      </c>
      <c r="B247" s="86" t="s">
        <v>394</v>
      </c>
      <c r="C247" s="120">
        <v>2022</v>
      </c>
      <c r="D247" s="328"/>
      <c r="E247" s="328"/>
      <c r="F247" s="328"/>
      <c r="G247" s="121">
        <v>53.077180000000006</v>
      </c>
      <c r="H247" s="145"/>
    </row>
    <row r="248" spans="1:9" ht="20.100000000000001" customHeight="1" x14ac:dyDescent="0.25">
      <c r="A248" s="123" t="s">
        <v>713</v>
      </c>
      <c r="B248" s="86" t="s">
        <v>390</v>
      </c>
      <c r="C248" s="120">
        <v>2022</v>
      </c>
      <c r="D248" s="327">
        <v>0.4</v>
      </c>
      <c r="E248" s="327">
        <v>177</v>
      </c>
      <c r="F248" s="329">
        <f>100+30+5</f>
        <v>135</v>
      </c>
      <c r="G248" s="121">
        <v>813.87971851851864</v>
      </c>
      <c r="H248" s="145"/>
    </row>
    <row r="249" spans="1:9" ht="20.100000000000001" hidden="1" customHeight="1" x14ac:dyDescent="0.25">
      <c r="A249" s="123" t="s">
        <v>713</v>
      </c>
      <c r="B249" s="86" t="s">
        <v>389</v>
      </c>
      <c r="C249" s="120">
        <v>2022</v>
      </c>
      <c r="D249" s="328"/>
      <c r="E249" s="328"/>
      <c r="F249" s="330"/>
      <c r="G249" s="121">
        <v>244.16391555555558</v>
      </c>
      <c r="H249" s="145"/>
    </row>
    <row r="250" spans="1:9" ht="20.100000000000001" customHeight="1" x14ac:dyDescent="0.25">
      <c r="A250" s="123" t="s">
        <v>714</v>
      </c>
      <c r="B250" s="86" t="s">
        <v>492</v>
      </c>
      <c r="C250" s="120">
        <v>2022</v>
      </c>
      <c r="D250" s="327">
        <v>0.4</v>
      </c>
      <c r="E250" s="327">
        <v>213</v>
      </c>
      <c r="F250" s="327">
        <f>40+30+40+30</f>
        <v>140</v>
      </c>
      <c r="G250" s="121">
        <v>764.80535428571443</v>
      </c>
      <c r="H250" s="145"/>
    </row>
    <row r="251" spans="1:9" ht="20.100000000000001" hidden="1" customHeight="1" x14ac:dyDescent="0.25">
      <c r="A251" s="123" t="s">
        <v>714</v>
      </c>
      <c r="B251" s="86" t="s">
        <v>491</v>
      </c>
      <c r="C251" s="120">
        <v>2022</v>
      </c>
      <c r="D251" s="331"/>
      <c r="E251" s="331"/>
      <c r="F251" s="331"/>
      <c r="G251" s="121">
        <v>573.60401571428577</v>
      </c>
      <c r="H251" s="145"/>
    </row>
    <row r="252" spans="1:9" ht="20.100000000000001" hidden="1" customHeight="1" x14ac:dyDescent="0.25">
      <c r="A252" s="123" t="s">
        <v>714</v>
      </c>
      <c r="B252" s="86" t="s">
        <v>490</v>
      </c>
      <c r="C252" s="120">
        <v>2022</v>
      </c>
      <c r="D252" s="331"/>
      <c r="E252" s="331"/>
      <c r="F252" s="331"/>
      <c r="G252" s="121">
        <v>764.80535428571443</v>
      </c>
      <c r="H252" s="145"/>
    </row>
    <row r="253" spans="1:9" ht="20.100000000000001" hidden="1" customHeight="1" x14ac:dyDescent="0.25">
      <c r="A253" s="123" t="s">
        <v>714</v>
      </c>
      <c r="B253" s="86" t="s">
        <v>489</v>
      </c>
      <c r="C253" s="120">
        <v>2022</v>
      </c>
      <c r="D253" s="328"/>
      <c r="E253" s="328"/>
      <c r="F253" s="328"/>
      <c r="G253" s="121">
        <v>573.60401571428577</v>
      </c>
      <c r="H253" s="145"/>
    </row>
    <row r="254" spans="1:9" ht="20.100000000000001" customHeight="1" x14ac:dyDescent="0.25">
      <c r="A254" s="125" t="s">
        <v>713</v>
      </c>
      <c r="B254" s="86" t="s">
        <v>488</v>
      </c>
      <c r="C254" s="120">
        <v>2022</v>
      </c>
      <c r="D254" s="120">
        <v>0.4</v>
      </c>
      <c r="E254" s="120">
        <v>168</v>
      </c>
      <c r="F254" s="86">
        <v>100</v>
      </c>
      <c r="G254" s="121">
        <v>1483.5737300000001</v>
      </c>
      <c r="H254" s="145"/>
    </row>
    <row r="255" spans="1:9" ht="20.100000000000001" customHeight="1" x14ac:dyDescent="0.25">
      <c r="A255" s="125" t="s">
        <v>713</v>
      </c>
      <c r="B255" s="111" t="s">
        <v>387</v>
      </c>
      <c r="C255" s="120">
        <v>2022</v>
      </c>
      <c r="D255" s="120">
        <v>0.4</v>
      </c>
      <c r="E255" s="120">
        <v>262</v>
      </c>
      <c r="F255" s="86">
        <v>60</v>
      </c>
      <c r="G255" s="121">
        <v>2093.6139699999999</v>
      </c>
      <c r="H255" s="145"/>
    </row>
    <row r="256" spans="1:9" ht="20.100000000000001" hidden="1" customHeight="1" x14ac:dyDescent="0.25">
      <c r="A256" s="123" t="s">
        <v>715</v>
      </c>
      <c r="B256" s="86" t="s">
        <v>349</v>
      </c>
      <c r="C256" s="120">
        <v>2022</v>
      </c>
      <c r="D256" s="327">
        <v>6</v>
      </c>
      <c r="E256" s="327">
        <v>405</v>
      </c>
      <c r="F256" s="329">
        <f>150+100</f>
        <v>250</v>
      </c>
      <c r="G256" s="121">
        <v>2425.4265720000003</v>
      </c>
      <c r="H256" s="145"/>
    </row>
    <row r="257" spans="1:8" ht="20.100000000000001" hidden="1" customHeight="1" x14ac:dyDescent="0.25">
      <c r="A257" s="123" t="s">
        <v>715</v>
      </c>
      <c r="B257" s="86" t="s">
        <v>348</v>
      </c>
      <c r="C257" s="120">
        <v>2022</v>
      </c>
      <c r="D257" s="328"/>
      <c r="E257" s="328"/>
      <c r="F257" s="330"/>
      <c r="G257" s="121">
        <v>1616.9510480000001</v>
      </c>
      <c r="H257" s="145"/>
    </row>
    <row r="258" spans="1:8" ht="20.100000000000001" customHeight="1" x14ac:dyDescent="0.25">
      <c r="A258" s="125" t="s">
        <v>716</v>
      </c>
      <c r="B258" s="86" t="s">
        <v>347</v>
      </c>
      <c r="C258" s="120">
        <v>2022</v>
      </c>
      <c r="D258" s="120">
        <v>0.4</v>
      </c>
      <c r="E258" s="120">
        <v>214</v>
      </c>
      <c r="F258" s="86">
        <v>50</v>
      </c>
      <c r="G258" s="126">
        <v>746.28890999999999</v>
      </c>
      <c r="H258" s="145"/>
    </row>
    <row r="259" spans="1:8" ht="20.100000000000001" hidden="1" customHeight="1" x14ac:dyDescent="0.25">
      <c r="A259" s="125" t="s">
        <v>715</v>
      </c>
      <c r="B259" s="86" t="s">
        <v>347</v>
      </c>
      <c r="C259" s="120">
        <v>2022</v>
      </c>
      <c r="D259" s="120">
        <v>6</v>
      </c>
      <c r="E259" s="120">
        <v>330</v>
      </c>
      <c r="F259" s="86">
        <f>250*0.94</f>
        <v>235</v>
      </c>
      <c r="G259" s="126">
        <v>293.20091702127661</v>
      </c>
      <c r="H259" s="145"/>
    </row>
    <row r="260" spans="1:8" ht="20.100000000000001" hidden="1" customHeight="1" x14ac:dyDescent="0.25">
      <c r="A260" s="125" t="s">
        <v>717</v>
      </c>
      <c r="B260" s="111" t="s">
        <v>342</v>
      </c>
      <c r="C260" s="120">
        <v>2022</v>
      </c>
      <c r="D260" s="120">
        <v>10</v>
      </c>
      <c r="E260" s="120">
        <v>176</v>
      </c>
      <c r="F260" s="86">
        <f>250*0.93</f>
        <v>232.5</v>
      </c>
      <c r="G260" s="127">
        <v>799.66978064516127</v>
      </c>
      <c r="H260" s="145"/>
    </row>
    <row r="261" spans="1:8" ht="20.100000000000001" hidden="1" customHeight="1" x14ac:dyDescent="0.25">
      <c r="A261" s="125" t="s">
        <v>715</v>
      </c>
      <c r="B261" s="97" t="s">
        <v>340</v>
      </c>
      <c r="C261" s="120">
        <v>2022</v>
      </c>
      <c r="D261" s="120">
        <v>10</v>
      </c>
      <c r="E261" s="120">
        <v>28</v>
      </c>
      <c r="F261" s="120">
        <f>250*0.93</f>
        <v>232.5</v>
      </c>
      <c r="G261" s="121">
        <v>38.515651612903227</v>
      </c>
      <c r="H261" s="145"/>
    </row>
    <row r="262" spans="1:8" ht="20.100000000000001" customHeight="1" x14ac:dyDescent="0.25">
      <c r="A262" s="125" t="s">
        <v>713</v>
      </c>
      <c r="B262" s="97" t="s">
        <v>338</v>
      </c>
      <c r="C262" s="120">
        <v>2022</v>
      </c>
      <c r="D262" s="120">
        <v>0.4</v>
      </c>
      <c r="E262" s="120">
        <v>32.5</v>
      </c>
      <c r="F262" s="128">
        <v>100</v>
      </c>
      <c r="G262" s="129">
        <v>113.16369999999999</v>
      </c>
      <c r="H262" s="145"/>
    </row>
    <row r="263" spans="1:8" ht="20.100000000000001" hidden="1" customHeight="1" x14ac:dyDescent="0.25">
      <c r="A263" s="125" t="s">
        <v>715</v>
      </c>
      <c r="B263" s="97" t="s">
        <v>338</v>
      </c>
      <c r="C263" s="120">
        <v>2022</v>
      </c>
      <c r="D263" s="120">
        <v>6</v>
      </c>
      <c r="E263" s="120">
        <v>81</v>
      </c>
      <c r="F263" s="128">
        <f>160*0.94</f>
        <v>150.39999999999998</v>
      </c>
      <c r="G263" s="129">
        <v>495.93073138297876</v>
      </c>
      <c r="H263" s="145"/>
    </row>
    <row r="264" spans="1:8" ht="20.100000000000001" hidden="1" customHeight="1" x14ac:dyDescent="0.25">
      <c r="A264" s="125" t="s">
        <v>715</v>
      </c>
      <c r="B264" s="97" t="s">
        <v>338</v>
      </c>
      <c r="C264" s="120">
        <v>2022</v>
      </c>
      <c r="D264" s="120">
        <v>6</v>
      </c>
      <c r="E264" s="120">
        <v>91.5</v>
      </c>
      <c r="F264" s="128">
        <f>160*0.94</f>
        <v>150.39999999999998</v>
      </c>
      <c r="G264" s="129">
        <v>518.8601728723404</v>
      </c>
      <c r="H264" s="145"/>
    </row>
    <row r="265" spans="1:8" ht="20.100000000000001" customHeight="1" x14ac:dyDescent="0.25">
      <c r="A265" s="125" t="s">
        <v>713</v>
      </c>
      <c r="B265" s="97" t="s">
        <v>336</v>
      </c>
      <c r="C265" s="120">
        <v>2022</v>
      </c>
      <c r="D265" s="120">
        <v>0.4</v>
      </c>
      <c r="E265" s="120">
        <v>33</v>
      </c>
      <c r="F265" s="128">
        <v>100</v>
      </c>
      <c r="G265" s="129">
        <v>187.76763</v>
      </c>
      <c r="H265" s="145"/>
    </row>
    <row r="266" spans="1:8" ht="20.100000000000001" hidden="1" customHeight="1" x14ac:dyDescent="0.25">
      <c r="A266" s="125" t="s">
        <v>718</v>
      </c>
      <c r="B266" s="97" t="s">
        <v>336</v>
      </c>
      <c r="C266" s="120">
        <v>2022</v>
      </c>
      <c r="D266" s="120">
        <v>6</v>
      </c>
      <c r="E266" s="120">
        <v>215.5</v>
      </c>
      <c r="F266" s="128">
        <f>160*0.94</f>
        <v>150.39999999999998</v>
      </c>
      <c r="G266" s="129">
        <v>629.3043284574469</v>
      </c>
      <c r="H266" s="145"/>
    </row>
    <row r="267" spans="1:8" ht="20.100000000000001" customHeight="1" x14ac:dyDescent="0.25">
      <c r="A267" s="125" t="s">
        <v>713</v>
      </c>
      <c r="B267" s="97" t="s">
        <v>335</v>
      </c>
      <c r="C267" s="120">
        <v>2022</v>
      </c>
      <c r="D267" s="120">
        <v>0.4</v>
      </c>
      <c r="E267" s="120">
        <v>224</v>
      </c>
      <c r="F267" s="128">
        <v>150</v>
      </c>
      <c r="G267" s="129">
        <v>2688.7522400000003</v>
      </c>
      <c r="H267" s="145"/>
    </row>
    <row r="268" spans="1:8" ht="20.100000000000001" hidden="1" customHeight="1" x14ac:dyDescent="0.25">
      <c r="A268" s="123" t="s">
        <v>717</v>
      </c>
      <c r="B268" s="97" t="s">
        <v>335</v>
      </c>
      <c r="C268" s="120">
        <v>2022</v>
      </c>
      <c r="D268" s="327">
        <v>6</v>
      </c>
      <c r="E268" s="327">
        <v>671</v>
      </c>
      <c r="F268" s="332">
        <f>400*0.94</f>
        <v>376</v>
      </c>
      <c r="G268" s="130">
        <v>2386.8713098404255</v>
      </c>
      <c r="H268" s="145"/>
    </row>
    <row r="269" spans="1:8" ht="20.100000000000001" hidden="1" customHeight="1" x14ac:dyDescent="0.25">
      <c r="A269" s="123" t="s">
        <v>717</v>
      </c>
      <c r="B269" s="97" t="s">
        <v>332</v>
      </c>
      <c r="C269" s="120">
        <v>2022</v>
      </c>
      <c r="D269" s="328"/>
      <c r="E269" s="328"/>
      <c r="F269" s="333"/>
      <c r="G269" s="130">
        <v>2386.8713098404255</v>
      </c>
      <c r="H269" s="145"/>
    </row>
    <row r="270" spans="1:8" ht="48.95" hidden="1" customHeight="1" x14ac:dyDescent="0.25">
      <c r="A270" s="35" t="s">
        <v>481</v>
      </c>
      <c r="B270" s="34" t="s">
        <v>480</v>
      </c>
      <c r="C270" s="12"/>
      <c r="D270" s="12"/>
      <c r="E270" s="12"/>
      <c r="F270" s="12"/>
      <c r="G270" s="11"/>
    </row>
    <row r="271" spans="1:8" s="30" customFormat="1" ht="123" hidden="1" customHeight="1" x14ac:dyDescent="0.25">
      <c r="A271" s="25" t="s">
        <v>479</v>
      </c>
      <c r="B271" s="29" t="s">
        <v>478</v>
      </c>
      <c r="C271" s="13"/>
      <c r="D271" s="12"/>
      <c r="E271" s="13"/>
      <c r="F271" s="12"/>
      <c r="G271" s="11"/>
      <c r="H271" s="2"/>
    </row>
    <row r="272" spans="1:8" s="30" customFormat="1" ht="63" hidden="1" customHeight="1" x14ac:dyDescent="0.25">
      <c r="A272" s="25" t="s">
        <v>477</v>
      </c>
      <c r="B272" s="29" t="s">
        <v>476</v>
      </c>
      <c r="C272" s="13"/>
      <c r="D272" s="12"/>
      <c r="E272" s="13"/>
      <c r="F272" s="12"/>
      <c r="G272" s="11"/>
      <c r="H272" s="2"/>
    </row>
    <row r="273" spans="1:10" ht="71.45" hidden="1" customHeight="1" x14ac:dyDescent="0.25">
      <c r="A273" s="25" t="s">
        <v>475</v>
      </c>
      <c r="B273" s="29" t="s">
        <v>474</v>
      </c>
      <c r="C273" s="13"/>
      <c r="D273" s="12"/>
      <c r="E273" s="13"/>
      <c r="F273" s="12"/>
      <c r="G273" s="11"/>
    </row>
    <row r="274" spans="1:10" ht="18.600000000000001" customHeight="1" x14ac:dyDescent="0.25">
      <c r="A274" s="36" t="s">
        <v>414</v>
      </c>
      <c r="B274" s="37" t="s">
        <v>473</v>
      </c>
      <c r="C274" s="12">
        <v>2020</v>
      </c>
      <c r="D274" s="12">
        <v>0.4</v>
      </c>
      <c r="E274" s="12"/>
      <c r="F274" s="12">
        <v>15</v>
      </c>
      <c r="G274" s="11">
        <v>53.58</v>
      </c>
      <c r="J274" s="1" t="s">
        <v>472</v>
      </c>
    </row>
    <row r="275" spans="1:10" x14ac:dyDescent="0.25">
      <c r="A275" s="36" t="s">
        <v>419</v>
      </c>
      <c r="B275" s="37" t="s">
        <v>471</v>
      </c>
      <c r="C275" s="12">
        <v>2020</v>
      </c>
      <c r="D275" s="12">
        <v>0.4</v>
      </c>
      <c r="E275" s="12"/>
      <c r="F275" s="12">
        <v>15</v>
      </c>
      <c r="G275" s="11">
        <v>76.28</v>
      </c>
    </row>
    <row r="276" spans="1:10" x14ac:dyDescent="0.25">
      <c r="A276" s="36" t="s">
        <v>419</v>
      </c>
      <c r="B276" s="37" t="s">
        <v>470</v>
      </c>
      <c r="C276" s="12">
        <v>2020</v>
      </c>
      <c r="D276" s="12">
        <v>0.4</v>
      </c>
      <c r="E276" s="12"/>
      <c r="F276" s="12">
        <v>5</v>
      </c>
      <c r="G276" s="11">
        <v>30.05</v>
      </c>
    </row>
    <row r="277" spans="1:10" x14ac:dyDescent="0.25">
      <c r="A277" s="36" t="s">
        <v>419</v>
      </c>
      <c r="B277" s="37" t="s">
        <v>469</v>
      </c>
      <c r="C277" s="12">
        <v>2020</v>
      </c>
      <c r="D277" s="12">
        <v>0.4</v>
      </c>
      <c r="E277" s="12"/>
      <c r="F277" s="12">
        <v>5</v>
      </c>
      <c r="G277" s="11">
        <v>28.16</v>
      </c>
    </row>
    <row r="278" spans="1:10" x14ac:dyDescent="0.25">
      <c r="A278" s="36" t="s">
        <v>419</v>
      </c>
      <c r="B278" s="37" t="s">
        <v>468</v>
      </c>
      <c r="C278" s="12">
        <v>2020</v>
      </c>
      <c r="D278" s="12">
        <v>0.4</v>
      </c>
      <c r="E278" s="12"/>
      <c r="F278" s="12">
        <v>5</v>
      </c>
      <c r="G278" s="11">
        <v>30.05</v>
      </c>
    </row>
    <row r="279" spans="1:10" x14ac:dyDescent="0.25">
      <c r="A279" s="36" t="s">
        <v>419</v>
      </c>
      <c r="B279" s="37" t="s">
        <v>467</v>
      </c>
      <c r="C279" s="12">
        <v>2020</v>
      </c>
      <c r="D279" s="12">
        <v>0.4</v>
      </c>
      <c r="E279" s="12"/>
      <c r="F279" s="12">
        <v>5</v>
      </c>
      <c r="G279" s="11">
        <v>30.05</v>
      </c>
    </row>
    <row r="280" spans="1:10" x14ac:dyDescent="0.25">
      <c r="A280" s="36" t="s">
        <v>419</v>
      </c>
      <c r="B280" s="37" t="s">
        <v>466</v>
      </c>
      <c r="C280" s="12">
        <v>2020</v>
      </c>
      <c r="D280" s="12">
        <v>0.4</v>
      </c>
      <c r="E280" s="12"/>
      <c r="F280" s="12">
        <v>5</v>
      </c>
      <c r="G280" s="11">
        <v>30.05</v>
      </c>
    </row>
    <row r="281" spans="1:10" x14ac:dyDescent="0.25">
      <c r="A281" s="36" t="s">
        <v>419</v>
      </c>
      <c r="B281" s="37" t="s">
        <v>465</v>
      </c>
      <c r="C281" s="12">
        <v>2020</v>
      </c>
      <c r="D281" s="12">
        <v>0.4</v>
      </c>
      <c r="E281" s="12"/>
      <c r="F281" s="12">
        <v>5</v>
      </c>
      <c r="G281" s="11">
        <v>34.21</v>
      </c>
    </row>
    <row r="282" spans="1:10" x14ac:dyDescent="0.25">
      <c r="A282" s="36" t="s">
        <v>419</v>
      </c>
      <c r="B282" s="37" t="s">
        <v>464</v>
      </c>
      <c r="C282" s="12">
        <v>2020</v>
      </c>
      <c r="D282" s="12">
        <v>0.4</v>
      </c>
      <c r="E282" s="12"/>
      <c r="F282" s="12">
        <v>5</v>
      </c>
      <c r="G282" s="11">
        <v>31.21</v>
      </c>
    </row>
    <row r="283" spans="1:10" x14ac:dyDescent="0.25">
      <c r="A283" s="36" t="s">
        <v>419</v>
      </c>
      <c r="B283" s="37" t="s">
        <v>463</v>
      </c>
      <c r="C283" s="12">
        <v>2020</v>
      </c>
      <c r="D283" s="12">
        <v>0.4</v>
      </c>
      <c r="E283" s="12"/>
      <c r="F283" s="12">
        <v>5</v>
      </c>
      <c r="G283" s="11">
        <v>31.21</v>
      </c>
    </row>
    <row r="284" spans="1:10" x14ac:dyDescent="0.25">
      <c r="A284" s="36" t="s">
        <v>419</v>
      </c>
      <c r="B284" s="37" t="s">
        <v>462</v>
      </c>
      <c r="C284" s="12">
        <v>2020</v>
      </c>
      <c r="D284" s="12">
        <v>0.4</v>
      </c>
      <c r="E284" s="12"/>
      <c r="F284" s="12">
        <v>5</v>
      </c>
      <c r="G284" s="11">
        <v>31.21</v>
      </c>
    </row>
    <row r="285" spans="1:10" x14ac:dyDescent="0.25">
      <c r="A285" s="36" t="s">
        <v>419</v>
      </c>
      <c r="B285" s="37" t="s">
        <v>461</v>
      </c>
      <c r="C285" s="12">
        <v>2020</v>
      </c>
      <c r="D285" s="12">
        <v>0.4</v>
      </c>
      <c r="E285" s="12"/>
      <c r="F285" s="12">
        <v>5</v>
      </c>
      <c r="G285" s="11">
        <v>29.94</v>
      </c>
    </row>
    <row r="286" spans="1:10" x14ac:dyDescent="0.25">
      <c r="A286" s="36" t="s">
        <v>419</v>
      </c>
      <c r="B286" s="37" t="s">
        <v>460</v>
      </c>
      <c r="C286" s="12">
        <v>2020</v>
      </c>
      <c r="D286" s="12">
        <v>0.4</v>
      </c>
      <c r="E286" s="12"/>
      <c r="F286" s="12">
        <v>5</v>
      </c>
      <c r="G286" s="11">
        <v>29.94</v>
      </c>
    </row>
    <row r="287" spans="1:10" x14ac:dyDescent="0.25">
      <c r="A287" s="36" t="s">
        <v>419</v>
      </c>
      <c r="B287" s="37" t="s">
        <v>459</v>
      </c>
      <c r="C287" s="12">
        <v>2020</v>
      </c>
      <c r="D287" s="12">
        <v>0.4</v>
      </c>
      <c r="E287" s="12"/>
      <c r="F287" s="12">
        <v>5</v>
      </c>
      <c r="G287" s="11">
        <v>29.94</v>
      </c>
    </row>
    <row r="288" spans="1:10" x14ac:dyDescent="0.25">
      <c r="A288" s="36" t="s">
        <v>419</v>
      </c>
      <c r="B288" s="37" t="s">
        <v>458</v>
      </c>
      <c r="C288" s="12">
        <v>2020</v>
      </c>
      <c r="D288" s="12">
        <v>0.4</v>
      </c>
      <c r="E288" s="12"/>
      <c r="F288" s="12">
        <v>5</v>
      </c>
      <c r="G288" s="11">
        <v>31.21</v>
      </c>
    </row>
    <row r="289" spans="1:10" ht="18" customHeight="1" x14ac:dyDescent="0.25">
      <c r="A289" s="36" t="s">
        <v>419</v>
      </c>
      <c r="B289" s="37" t="s">
        <v>457</v>
      </c>
      <c r="C289" s="12">
        <v>2020</v>
      </c>
      <c r="D289" s="12">
        <v>0.4</v>
      </c>
      <c r="E289" s="12"/>
      <c r="F289" s="12">
        <v>5</v>
      </c>
      <c r="G289" s="11">
        <v>31.21</v>
      </c>
    </row>
    <row r="290" spans="1:10" ht="18.95" customHeight="1" x14ac:dyDescent="0.25">
      <c r="A290" s="36" t="s">
        <v>419</v>
      </c>
      <c r="B290" s="37" t="s">
        <v>456</v>
      </c>
      <c r="C290" s="12">
        <v>2020</v>
      </c>
      <c r="D290" s="12">
        <v>0.4</v>
      </c>
      <c r="E290" s="12"/>
      <c r="F290" s="12">
        <v>5</v>
      </c>
      <c r="G290" s="11">
        <v>31.21</v>
      </c>
    </row>
    <row r="291" spans="1:10" ht="23.45" customHeight="1" x14ac:dyDescent="0.25">
      <c r="A291" s="36" t="s">
        <v>419</v>
      </c>
      <c r="B291" s="37" t="s">
        <v>455</v>
      </c>
      <c r="C291" s="12">
        <v>2020</v>
      </c>
      <c r="D291" s="12">
        <v>0.4</v>
      </c>
      <c r="E291" s="12"/>
      <c r="F291" s="12">
        <v>5</v>
      </c>
      <c r="G291" s="11">
        <v>31.21</v>
      </c>
    </row>
    <row r="292" spans="1:10" ht="18.95" customHeight="1" x14ac:dyDescent="0.25">
      <c r="A292" s="36" t="s">
        <v>419</v>
      </c>
      <c r="B292" s="37" t="s">
        <v>454</v>
      </c>
      <c r="C292" s="12">
        <v>2020</v>
      </c>
      <c r="D292" s="12">
        <v>0.4</v>
      </c>
      <c r="E292" s="12"/>
      <c r="F292" s="12">
        <v>5</v>
      </c>
      <c r="G292" s="11">
        <v>31.21</v>
      </c>
    </row>
    <row r="293" spans="1:10" ht="24.6" customHeight="1" x14ac:dyDescent="0.25">
      <c r="A293" s="36" t="s">
        <v>419</v>
      </c>
      <c r="B293" s="37" t="s">
        <v>453</v>
      </c>
      <c r="C293" s="12">
        <v>2020</v>
      </c>
      <c r="D293" s="12">
        <v>0.4</v>
      </c>
      <c r="E293" s="12"/>
      <c r="F293" s="12">
        <v>5</v>
      </c>
      <c r="G293" s="11">
        <v>31.21</v>
      </c>
    </row>
    <row r="294" spans="1:10" x14ac:dyDescent="0.25">
      <c r="A294" s="36" t="s">
        <v>419</v>
      </c>
      <c r="B294" s="37" t="s">
        <v>452</v>
      </c>
      <c r="C294" s="12">
        <v>2020</v>
      </c>
      <c r="D294" s="12">
        <v>0.4</v>
      </c>
      <c r="E294" s="12"/>
      <c r="F294" s="87">
        <v>5</v>
      </c>
      <c r="G294" s="50">
        <v>34.65</v>
      </c>
      <c r="H294" s="134"/>
    </row>
    <row r="295" spans="1:10" x14ac:dyDescent="0.25">
      <c r="A295" s="36" t="s">
        <v>419</v>
      </c>
      <c r="B295" s="37" t="s">
        <v>451</v>
      </c>
      <c r="C295" s="12">
        <v>2020</v>
      </c>
      <c r="D295" s="12">
        <v>0.4</v>
      </c>
      <c r="E295" s="12"/>
      <c r="F295" s="87">
        <v>5</v>
      </c>
      <c r="G295" s="50">
        <v>34.65</v>
      </c>
      <c r="H295" s="134"/>
    </row>
    <row r="296" spans="1:10" ht="19.5" customHeight="1" x14ac:dyDescent="0.25">
      <c r="A296" s="36" t="s">
        <v>419</v>
      </c>
      <c r="B296" s="37" t="s">
        <v>450</v>
      </c>
      <c r="C296" s="12">
        <v>2020</v>
      </c>
      <c r="D296" s="12">
        <v>0.4</v>
      </c>
      <c r="E296" s="12"/>
      <c r="F296" s="87">
        <v>5</v>
      </c>
      <c r="G296" s="50">
        <v>35.32</v>
      </c>
      <c r="H296" s="134"/>
      <c r="I296" s="1" t="s">
        <v>449</v>
      </c>
      <c r="J296" s="1" t="s">
        <v>448</v>
      </c>
    </row>
    <row r="297" spans="1:10" ht="16.5" customHeight="1" x14ac:dyDescent="0.25">
      <c r="A297" s="36" t="s">
        <v>403</v>
      </c>
      <c r="B297" s="37" t="s">
        <v>447</v>
      </c>
      <c r="C297" s="12">
        <v>2020</v>
      </c>
      <c r="D297" s="12">
        <v>0.4</v>
      </c>
      <c r="E297" s="12"/>
      <c r="F297" s="87">
        <v>15</v>
      </c>
      <c r="G297" s="50">
        <v>28.71</v>
      </c>
      <c r="H297" s="134"/>
      <c r="I297" s="1" t="s">
        <v>446</v>
      </c>
    </row>
    <row r="298" spans="1:10" x14ac:dyDescent="0.25">
      <c r="A298" s="36" t="s">
        <v>419</v>
      </c>
      <c r="B298" s="37" t="s">
        <v>445</v>
      </c>
      <c r="C298" s="12">
        <v>2020</v>
      </c>
      <c r="D298" s="12">
        <v>0.4</v>
      </c>
      <c r="E298" s="12"/>
      <c r="F298" s="87">
        <v>5</v>
      </c>
      <c r="G298" s="50">
        <v>19.14</v>
      </c>
      <c r="H298" s="134"/>
    </row>
    <row r="299" spans="1:10" x14ac:dyDescent="0.25">
      <c r="A299" s="36" t="s">
        <v>419</v>
      </c>
      <c r="B299" s="37" t="s">
        <v>444</v>
      </c>
      <c r="C299" s="12">
        <v>2020</v>
      </c>
      <c r="D299" s="12">
        <v>0.4</v>
      </c>
      <c r="E299" s="12"/>
      <c r="F299" s="87">
        <v>95</v>
      </c>
      <c r="G299" s="50">
        <v>49.55</v>
      </c>
      <c r="H299" s="134"/>
    </row>
    <row r="300" spans="1:10" x14ac:dyDescent="0.25">
      <c r="A300" s="36" t="s">
        <v>414</v>
      </c>
      <c r="B300" s="37" t="s">
        <v>443</v>
      </c>
      <c r="C300" s="12">
        <v>2020</v>
      </c>
      <c r="D300" s="12">
        <v>0.4</v>
      </c>
      <c r="E300" s="12"/>
      <c r="F300" s="87">
        <v>40</v>
      </c>
      <c r="G300" s="50">
        <v>8.0299999999999994</v>
      </c>
      <c r="H300" s="134"/>
      <c r="I300" s="1">
        <v>250</v>
      </c>
    </row>
    <row r="301" spans="1:10" x14ac:dyDescent="0.25">
      <c r="A301" s="36" t="s">
        <v>414</v>
      </c>
      <c r="B301" s="37" t="s">
        <v>442</v>
      </c>
      <c r="C301" s="12">
        <v>2020</v>
      </c>
      <c r="D301" s="12">
        <v>0.4</v>
      </c>
      <c r="E301" s="12"/>
      <c r="F301" s="87">
        <v>20</v>
      </c>
      <c r="G301" s="50">
        <v>56.65</v>
      </c>
      <c r="H301" s="134"/>
      <c r="I301" s="1">
        <v>325</v>
      </c>
    </row>
    <row r="302" spans="1:10" x14ac:dyDescent="0.25">
      <c r="A302" s="36" t="s">
        <v>403</v>
      </c>
      <c r="B302" s="37" t="s">
        <v>441</v>
      </c>
      <c r="C302" s="12">
        <v>2020</v>
      </c>
      <c r="D302" s="12">
        <v>0.4</v>
      </c>
      <c r="E302" s="12"/>
      <c r="F302" s="12">
        <v>80</v>
      </c>
      <c r="G302" s="11">
        <v>97.09</v>
      </c>
      <c r="I302" s="1">
        <v>33</v>
      </c>
    </row>
    <row r="303" spans="1:10" x14ac:dyDescent="0.25">
      <c r="A303" s="36" t="s">
        <v>419</v>
      </c>
      <c r="B303" s="37" t="s">
        <v>440</v>
      </c>
      <c r="C303" s="12">
        <v>2020</v>
      </c>
      <c r="D303" s="12">
        <v>0.4</v>
      </c>
      <c r="E303" s="12"/>
      <c r="F303" s="12">
        <v>10</v>
      </c>
      <c r="G303" s="11">
        <v>21.58</v>
      </c>
    </row>
    <row r="304" spans="1:10" ht="18" customHeight="1" x14ac:dyDescent="0.25">
      <c r="A304" s="36" t="s">
        <v>419</v>
      </c>
      <c r="B304" s="37" t="s">
        <v>439</v>
      </c>
      <c r="C304" s="12">
        <v>2020</v>
      </c>
      <c r="D304" s="12">
        <v>0.4</v>
      </c>
      <c r="E304" s="12"/>
      <c r="F304" s="12">
        <v>10</v>
      </c>
      <c r="G304" s="11">
        <v>125.77</v>
      </c>
    </row>
    <row r="305" spans="1:9" ht="19.5" customHeight="1" x14ac:dyDescent="0.25">
      <c r="A305" s="36" t="s">
        <v>414</v>
      </c>
      <c r="B305" s="37" t="s">
        <v>438</v>
      </c>
      <c r="C305" s="12">
        <v>2021</v>
      </c>
      <c r="D305" s="12">
        <v>0.4</v>
      </c>
      <c r="E305" s="12"/>
      <c r="F305" s="12">
        <v>15</v>
      </c>
      <c r="G305" s="11">
        <v>5.4098199999999999</v>
      </c>
      <c r="I305" s="1" t="s">
        <v>437</v>
      </c>
    </row>
    <row r="306" spans="1:9" ht="21.95" customHeight="1" x14ac:dyDescent="0.25">
      <c r="A306" s="36" t="s">
        <v>414</v>
      </c>
      <c r="B306" s="37" t="s">
        <v>233</v>
      </c>
      <c r="C306" s="12">
        <v>2021</v>
      </c>
      <c r="D306" s="12">
        <v>0.4</v>
      </c>
      <c r="E306" s="12"/>
      <c r="F306" s="12">
        <v>15</v>
      </c>
      <c r="G306" s="11">
        <v>13.839700000000001</v>
      </c>
      <c r="I306" s="31" t="s">
        <v>436</v>
      </c>
    </row>
    <row r="307" spans="1:9" ht="18.600000000000001" customHeight="1" x14ac:dyDescent="0.25">
      <c r="A307" s="36" t="s">
        <v>414</v>
      </c>
      <c r="B307" s="37" t="s">
        <v>234</v>
      </c>
      <c r="C307" s="12">
        <v>2021</v>
      </c>
      <c r="D307" s="12">
        <v>0.4</v>
      </c>
      <c r="E307" s="12"/>
      <c r="F307" s="12">
        <v>5</v>
      </c>
      <c r="G307" s="11">
        <v>13.5847</v>
      </c>
      <c r="I307" s="31" t="s">
        <v>435</v>
      </c>
    </row>
    <row r="308" spans="1:9" ht="20.100000000000001" customHeight="1" x14ac:dyDescent="0.25">
      <c r="A308" s="36" t="s">
        <v>414</v>
      </c>
      <c r="B308" s="37" t="s">
        <v>207</v>
      </c>
      <c r="C308" s="12">
        <v>2021</v>
      </c>
      <c r="D308" s="12">
        <v>0.4</v>
      </c>
      <c r="E308" s="12"/>
      <c r="F308" s="12">
        <v>5</v>
      </c>
      <c r="G308" s="11">
        <v>21.691199999999998</v>
      </c>
      <c r="I308" s="31" t="s">
        <v>434</v>
      </c>
    </row>
    <row r="309" spans="1:9" ht="19.5" customHeight="1" x14ac:dyDescent="0.25">
      <c r="A309" s="36" t="s">
        <v>414</v>
      </c>
      <c r="B309" s="37" t="s">
        <v>433</v>
      </c>
      <c r="C309" s="12">
        <v>2021</v>
      </c>
      <c r="D309" s="12">
        <v>0.4</v>
      </c>
      <c r="E309" s="12"/>
      <c r="F309" s="12">
        <v>5</v>
      </c>
      <c r="G309" s="11">
        <v>17.877400000000002</v>
      </c>
      <c r="I309" s="31" t="s">
        <v>432</v>
      </c>
    </row>
    <row r="310" spans="1:9" ht="15" customHeight="1" x14ac:dyDescent="0.25">
      <c r="A310" s="36" t="s">
        <v>414</v>
      </c>
      <c r="B310" s="37" t="s">
        <v>431</v>
      </c>
      <c r="C310" s="12">
        <v>2021</v>
      </c>
      <c r="D310" s="12">
        <v>0.4</v>
      </c>
      <c r="E310" s="12"/>
      <c r="F310" s="12">
        <v>5</v>
      </c>
      <c r="G310" s="11">
        <v>7.9394999999999998</v>
      </c>
      <c r="I310" s="31" t="s">
        <v>430</v>
      </c>
    </row>
    <row r="311" spans="1:9" x14ac:dyDescent="0.25">
      <c r="A311" s="36" t="s">
        <v>414</v>
      </c>
      <c r="B311" s="37" t="s">
        <v>429</v>
      </c>
      <c r="C311" s="12">
        <v>2021</v>
      </c>
      <c r="D311" s="12">
        <v>0.4</v>
      </c>
      <c r="E311" s="12"/>
      <c r="F311" s="12">
        <v>15</v>
      </c>
      <c r="G311" s="11">
        <v>3.4371800000000001</v>
      </c>
      <c r="I311" s="31" t="s">
        <v>428</v>
      </c>
    </row>
    <row r="312" spans="1:9" ht="20.100000000000001" customHeight="1" x14ac:dyDescent="0.25">
      <c r="A312" s="36" t="s">
        <v>419</v>
      </c>
      <c r="B312" s="88" t="s">
        <v>427</v>
      </c>
      <c r="C312" s="12">
        <v>2021</v>
      </c>
      <c r="D312" s="12">
        <v>0.4</v>
      </c>
      <c r="E312" s="12"/>
      <c r="F312" s="12">
        <v>100</v>
      </c>
      <c r="G312" s="11">
        <v>94.165499999999994</v>
      </c>
      <c r="I312" s="31" t="s">
        <v>426</v>
      </c>
    </row>
    <row r="313" spans="1:9" x14ac:dyDescent="0.25">
      <c r="A313" s="36" t="s">
        <v>419</v>
      </c>
      <c r="B313" s="88" t="s">
        <v>425</v>
      </c>
      <c r="C313" s="12">
        <v>2021</v>
      </c>
      <c r="D313" s="12">
        <v>0.4</v>
      </c>
      <c r="E313" s="12"/>
      <c r="F313" s="12">
        <v>130</v>
      </c>
      <c r="G313" s="11">
        <v>4.5707100000000001</v>
      </c>
      <c r="I313" s="31" t="s">
        <v>424</v>
      </c>
    </row>
    <row r="314" spans="1:9" x14ac:dyDescent="0.25">
      <c r="A314" s="36" t="s">
        <v>414</v>
      </c>
      <c r="B314" s="88" t="s">
        <v>423</v>
      </c>
      <c r="C314" s="12">
        <v>2021</v>
      </c>
      <c r="D314" s="12">
        <v>0.4</v>
      </c>
      <c r="E314" s="12"/>
      <c r="F314" s="12">
        <v>50</v>
      </c>
      <c r="G314" s="11">
        <v>9.0050100000000004</v>
      </c>
      <c r="I314" s="31" t="s">
        <v>422</v>
      </c>
    </row>
    <row r="315" spans="1:9" x14ac:dyDescent="0.25">
      <c r="A315" s="36" t="s">
        <v>411</v>
      </c>
      <c r="B315" s="88" t="s">
        <v>421</v>
      </c>
      <c r="C315" s="12">
        <v>2021</v>
      </c>
      <c r="D315" s="12">
        <v>0.4</v>
      </c>
      <c r="E315" s="12"/>
      <c r="F315" s="12">
        <v>70</v>
      </c>
      <c r="G315" s="11">
        <v>128.78399999999999</v>
      </c>
      <c r="I315" s="31" t="s">
        <v>420</v>
      </c>
    </row>
    <row r="316" spans="1:9" x14ac:dyDescent="0.25">
      <c r="A316" s="36" t="s">
        <v>419</v>
      </c>
      <c r="B316" s="88" t="s">
        <v>418</v>
      </c>
      <c r="C316" s="12">
        <v>2021</v>
      </c>
      <c r="D316" s="12">
        <v>0.4</v>
      </c>
      <c r="E316" s="12"/>
      <c r="F316" s="12">
        <v>50</v>
      </c>
      <c r="G316" s="11">
        <v>197.02500000000001</v>
      </c>
      <c r="I316" s="31" t="s">
        <v>417</v>
      </c>
    </row>
    <row r="317" spans="1:9" x14ac:dyDescent="0.25">
      <c r="A317" s="36" t="s">
        <v>403</v>
      </c>
      <c r="B317" s="88" t="s">
        <v>416</v>
      </c>
      <c r="C317" s="12">
        <v>2021</v>
      </c>
      <c r="D317" s="12">
        <v>0.4</v>
      </c>
      <c r="E317" s="12"/>
      <c r="F317" s="12">
        <v>40</v>
      </c>
      <c r="G317" s="11">
        <v>194.535</v>
      </c>
      <c r="I317" s="31" t="s">
        <v>415</v>
      </c>
    </row>
    <row r="318" spans="1:9" x14ac:dyDescent="0.25">
      <c r="A318" s="36" t="s">
        <v>414</v>
      </c>
      <c r="B318" s="88" t="s">
        <v>413</v>
      </c>
      <c r="C318" s="12">
        <v>2021</v>
      </c>
      <c r="D318" s="12">
        <v>0.4</v>
      </c>
      <c r="E318" s="12"/>
      <c r="F318" s="12">
        <v>15</v>
      </c>
      <c r="G318" s="11">
        <v>8.8510600000000004</v>
      </c>
      <c r="I318" s="31" t="s">
        <v>412</v>
      </c>
    </row>
    <row r="319" spans="1:9" ht="21.95" customHeight="1" x14ac:dyDescent="0.25">
      <c r="A319" s="36" t="s">
        <v>411</v>
      </c>
      <c r="B319" s="88" t="s">
        <v>410</v>
      </c>
      <c r="C319" s="12">
        <v>2021</v>
      </c>
      <c r="D319" s="12">
        <v>0.4</v>
      </c>
      <c r="E319" s="12"/>
      <c r="F319" s="12">
        <v>50</v>
      </c>
      <c r="G319" s="11">
        <v>78.105099999999993</v>
      </c>
      <c r="I319" s="31" t="s">
        <v>409</v>
      </c>
    </row>
    <row r="320" spans="1:9" ht="23.45" customHeight="1" x14ac:dyDescent="0.25">
      <c r="A320" s="36" t="s">
        <v>403</v>
      </c>
      <c r="B320" s="88" t="s">
        <v>408</v>
      </c>
      <c r="C320" s="12">
        <v>2021</v>
      </c>
      <c r="D320" s="12">
        <v>0.4</v>
      </c>
      <c r="E320" s="12"/>
      <c r="F320" s="12">
        <v>140</v>
      </c>
      <c r="G320" s="11">
        <v>117.131</v>
      </c>
      <c r="I320" s="31" t="s">
        <v>407</v>
      </c>
    </row>
    <row r="321" spans="1:9" ht="23.1" customHeight="1" x14ac:dyDescent="0.25">
      <c r="A321" s="36" t="s">
        <v>406</v>
      </c>
      <c r="B321" s="88" t="s">
        <v>405</v>
      </c>
      <c r="C321" s="12">
        <v>2021</v>
      </c>
      <c r="D321" s="12">
        <v>0.4</v>
      </c>
      <c r="E321" s="12"/>
      <c r="F321" s="12">
        <v>70</v>
      </c>
      <c r="G321" s="11">
        <v>106.224</v>
      </c>
      <c r="I321" s="31" t="s">
        <v>404</v>
      </c>
    </row>
    <row r="322" spans="1:9" ht="21" customHeight="1" x14ac:dyDescent="0.25">
      <c r="A322" s="36" t="s">
        <v>403</v>
      </c>
      <c r="B322" s="37" t="s">
        <v>402</v>
      </c>
      <c r="C322" s="12">
        <v>2021</v>
      </c>
      <c r="D322" s="12">
        <v>0.4</v>
      </c>
      <c r="E322" s="12"/>
      <c r="F322" s="12">
        <v>200</v>
      </c>
      <c r="G322" s="11">
        <v>130.84299999999999</v>
      </c>
      <c r="I322" s="31" t="s">
        <v>401</v>
      </c>
    </row>
    <row r="323" spans="1:9" ht="21" customHeight="1" x14ac:dyDescent="0.25">
      <c r="A323" s="93" t="s">
        <v>386</v>
      </c>
      <c r="B323" s="94" t="s">
        <v>122</v>
      </c>
      <c r="C323" s="95">
        <v>2022</v>
      </c>
      <c r="D323" s="96">
        <v>0.4</v>
      </c>
      <c r="E323" s="96"/>
      <c r="F323" s="97">
        <v>15</v>
      </c>
      <c r="G323" s="98">
        <v>7.7487899999999996</v>
      </c>
      <c r="H323" s="146"/>
      <c r="I323" s="31"/>
    </row>
    <row r="324" spans="1:9" ht="21" customHeight="1" x14ac:dyDescent="0.25">
      <c r="A324" s="93" t="s">
        <v>386</v>
      </c>
      <c r="B324" s="94" t="s">
        <v>399</v>
      </c>
      <c r="C324" s="95">
        <v>2022</v>
      </c>
      <c r="D324" s="96">
        <v>0.4</v>
      </c>
      <c r="E324" s="96"/>
      <c r="F324" s="99">
        <v>10</v>
      </c>
      <c r="G324" s="100">
        <v>8.5959799999999991</v>
      </c>
      <c r="H324" s="146"/>
      <c r="I324" s="31"/>
    </row>
    <row r="325" spans="1:9" ht="21" customHeight="1" x14ac:dyDescent="0.25">
      <c r="A325" s="93" t="s">
        <v>386</v>
      </c>
      <c r="B325" s="94" t="s">
        <v>396</v>
      </c>
      <c r="C325" s="95">
        <v>2022</v>
      </c>
      <c r="D325" s="96">
        <v>0.4</v>
      </c>
      <c r="E325" s="96"/>
      <c r="F325" s="97">
        <v>5</v>
      </c>
      <c r="G325" s="98">
        <v>12.1694</v>
      </c>
      <c r="H325" s="146"/>
      <c r="I325" s="31"/>
    </row>
    <row r="326" spans="1:9" ht="21" customHeight="1" x14ac:dyDescent="0.25">
      <c r="A326" s="93" t="s">
        <v>386</v>
      </c>
      <c r="B326" s="94" t="s">
        <v>688</v>
      </c>
      <c r="C326" s="95">
        <v>2022</v>
      </c>
      <c r="D326" s="320">
        <v>0.4</v>
      </c>
      <c r="E326" s="320" t="s">
        <v>334</v>
      </c>
      <c r="F326" s="97">
        <v>15</v>
      </c>
      <c r="G326" s="98">
        <v>1.7390204999999999</v>
      </c>
      <c r="H326" s="146"/>
      <c r="I326" s="31"/>
    </row>
    <row r="327" spans="1:9" ht="21" hidden="1" customHeight="1" x14ac:dyDescent="0.25">
      <c r="A327" s="93" t="s">
        <v>386</v>
      </c>
      <c r="B327" s="94" t="s">
        <v>688</v>
      </c>
      <c r="C327" s="95">
        <v>2022</v>
      </c>
      <c r="D327" s="322"/>
      <c r="E327" s="322"/>
      <c r="F327" s="97">
        <v>15</v>
      </c>
      <c r="G327" s="98">
        <v>1.7390204999999999</v>
      </c>
      <c r="H327" s="146"/>
      <c r="I327" s="31"/>
    </row>
    <row r="328" spans="1:9" ht="21" customHeight="1" x14ac:dyDescent="0.25">
      <c r="A328" s="93" t="s">
        <v>386</v>
      </c>
      <c r="B328" s="94" t="s">
        <v>119</v>
      </c>
      <c r="C328" s="95">
        <v>2022</v>
      </c>
      <c r="D328" s="96">
        <v>0.4</v>
      </c>
      <c r="E328" s="96"/>
      <c r="F328" s="97">
        <v>5</v>
      </c>
      <c r="G328" s="98">
        <v>6.4971800000000002</v>
      </c>
      <c r="H328" s="146"/>
      <c r="I328" s="31"/>
    </row>
    <row r="329" spans="1:9" ht="21" customHeight="1" x14ac:dyDescent="0.25">
      <c r="A329" s="93" t="s">
        <v>386</v>
      </c>
      <c r="B329" s="94" t="s">
        <v>119</v>
      </c>
      <c r="C329" s="95">
        <v>2022</v>
      </c>
      <c r="D329" s="96">
        <v>0.4</v>
      </c>
      <c r="E329" s="96"/>
      <c r="F329" s="97">
        <v>5</v>
      </c>
      <c r="G329" s="98">
        <v>6.4971800000000002</v>
      </c>
      <c r="H329" s="146"/>
      <c r="I329" s="31"/>
    </row>
    <row r="330" spans="1:9" ht="21" customHeight="1" x14ac:dyDescent="0.25">
      <c r="A330" s="93" t="s">
        <v>386</v>
      </c>
      <c r="B330" s="94" t="s">
        <v>118</v>
      </c>
      <c r="C330" s="95">
        <v>2022</v>
      </c>
      <c r="D330" s="96">
        <v>0.4</v>
      </c>
      <c r="E330" s="96"/>
      <c r="F330" s="97">
        <v>5</v>
      </c>
      <c r="G330" s="98">
        <v>6.4971800000000002</v>
      </c>
      <c r="H330" s="146"/>
      <c r="I330" s="31"/>
    </row>
    <row r="331" spans="1:9" ht="21" customHeight="1" x14ac:dyDescent="0.25">
      <c r="A331" s="93" t="s">
        <v>386</v>
      </c>
      <c r="B331" s="94" t="s">
        <v>117</v>
      </c>
      <c r="C331" s="95">
        <v>2022</v>
      </c>
      <c r="D331" s="96">
        <v>0.4</v>
      </c>
      <c r="E331" s="96"/>
      <c r="F331" s="97">
        <v>5</v>
      </c>
      <c r="G331" s="98">
        <v>6.4971800000000002</v>
      </c>
      <c r="H331" s="146"/>
      <c r="I331" s="31"/>
    </row>
    <row r="332" spans="1:9" ht="21" customHeight="1" x14ac:dyDescent="0.25">
      <c r="A332" s="93" t="s">
        <v>386</v>
      </c>
      <c r="B332" s="94" t="s">
        <v>393</v>
      </c>
      <c r="C332" s="95">
        <v>2022</v>
      </c>
      <c r="D332" s="96">
        <v>0.4</v>
      </c>
      <c r="E332" s="96"/>
      <c r="F332" s="97">
        <v>2</v>
      </c>
      <c r="G332" s="98">
        <v>6.4971800000000002</v>
      </c>
      <c r="H332" s="146"/>
      <c r="I332" s="31"/>
    </row>
    <row r="333" spans="1:9" ht="21" customHeight="1" x14ac:dyDescent="0.25">
      <c r="A333" s="93" t="s">
        <v>386</v>
      </c>
      <c r="B333" s="94" t="s">
        <v>116</v>
      </c>
      <c r="C333" s="95">
        <v>2022</v>
      </c>
      <c r="D333" s="96">
        <v>0.4</v>
      </c>
      <c r="E333" s="96"/>
      <c r="F333" s="97">
        <v>15</v>
      </c>
      <c r="G333" s="98">
        <v>13.75783</v>
      </c>
      <c r="H333" s="146"/>
      <c r="I333" s="31"/>
    </row>
    <row r="334" spans="1:9" ht="21" customHeight="1" x14ac:dyDescent="0.25">
      <c r="A334" s="93" t="s">
        <v>386</v>
      </c>
      <c r="B334" s="94" t="s">
        <v>391</v>
      </c>
      <c r="C334" s="95">
        <v>2022</v>
      </c>
      <c r="D334" s="96">
        <v>0.4</v>
      </c>
      <c r="E334" s="96"/>
      <c r="F334" s="97">
        <v>5</v>
      </c>
      <c r="G334" s="101">
        <v>5.1141007407407404</v>
      </c>
      <c r="H334" s="146"/>
      <c r="I334" s="31"/>
    </row>
    <row r="335" spans="1:9" ht="21" customHeight="1" x14ac:dyDescent="0.25">
      <c r="A335" s="131" t="s">
        <v>719</v>
      </c>
      <c r="B335" s="124" t="s">
        <v>400</v>
      </c>
      <c r="C335" s="122">
        <v>2022</v>
      </c>
      <c r="D335" s="122">
        <v>0.4</v>
      </c>
      <c r="E335" s="122"/>
      <c r="F335" s="124">
        <v>20</v>
      </c>
      <c r="G335" s="132">
        <v>18.854959999999998</v>
      </c>
      <c r="H335" s="146"/>
      <c r="I335" s="31" t="s">
        <v>711</v>
      </c>
    </row>
    <row r="336" spans="1:9" ht="21" customHeight="1" x14ac:dyDescent="0.25">
      <c r="A336" s="131" t="s">
        <v>719</v>
      </c>
      <c r="B336" s="86" t="s">
        <v>398</v>
      </c>
      <c r="C336" s="120">
        <v>2022</v>
      </c>
      <c r="D336" s="120">
        <v>0.4</v>
      </c>
      <c r="E336" s="120"/>
      <c r="F336" s="86">
        <v>30</v>
      </c>
      <c r="G336" s="121">
        <v>7.2181800000000003</v>
      </c>
      <c r="H336" s="146"/>
      <c r="I336" s="31"/>
    </row>
    <row r="337" spans="1:9" ht="21" customHeight="1" x14ac:dyDescent="0.25">
      <c r="A337" s="131" t="s">
        <v>719</v>
      </c>
      <c r="B337" s="86" t="s">
        <v>397</v>
      </c>
      <c r="C337" s="120">
        <v>2022</v>
      </c>
      <c r="D337" s="120">
        <v>0.4</v>
      </c>
      <c r="E337" s="120"/>
      <c r="F337" s="120">
        <v>25</v>
      </c>
      <c r="G337" s="121">
        <v>12.16817</v>
      </c>
      <c r="H337" s="146"/>
      <c r="I337" s="31"/>
    </row>
    <row r="338" spans="1:9" ht="21" customHeight="1" x14ac:dyDescent="0.25">
      <c r="A338" s="133" t="s">
        <v>720</v>
      </c>
      <c r="B338" s="86" t="s">
        <v>395</v>
      </c>
      <c r="C338" s="120">
        <v>2022</v>
      </c>
      <c r="D338" s="327">
        <v>0.4</v>
      </c>
      <c r="E338" s="327"/>
      <c r="F338" s="327">
        <f>50+20+15+15</f>
        <v>100</v>
      </c>
      <c r="G338" s="121">
        <v>5.796735</v>
      </c>
      <c r="H338" s="146"/>
      <c r="I338" s="31"/>
    </row>
    <row r="339" spans="1:9" ht="21" hidden="1" customHeight="1" x14ac:dyDescent="0.25">
      <c r="A339" s="133" t="s">
        <v>720</v>
      </c>
      <c r="B339" s="86" t="s">
        <v>394</v>
      </c>
      <c r="C339" s="120">
        <v>2022</v>
      </c>
      <c r="D339" s="328"/>
      <c r="E339" s="328"/>
      <c r="F339" s="328"/>
      <c r="G339" s="121">
        <v>2.3186939999999998</v>
      </c>
      <c r="H339" s="146"/>
      <c r="I339" s="31"/>
    </row>
    <row r="340" spans="1:9" ht="21" customHeight="1" x14ac:dyDescent="0.25">
      <c r="A340" s="131" t="s">
        <v>719</v>
      </c>
      <c r="B340" s="86" t="s">
        <v>392</v>
      </c>
      <c r="C340" s="120">
        <v>2022</v>
      </c>
      <c r="D340" s="120">
        <v>0.4</v>
      </c>
      <c r="E340" s="120"/>
      <c r="F340" s="86">
        <v>30</v>
      </c>
      <c r="G340" s="121">
        <v>13.39476</v>
      </c>
      <c r="H340" s="146"/>
      <c r="I340" s="31"/>
    </row>
    <row r="341" spans="1:9" ht="21" customHeight="1" x14ac:dyDescent="0.25">
      <c r="A341" s="133" t="s">
        <v>720</v>
      </c>
      <c r="B341" s="86" t="s">
        <v>390</v>
      </c>
      <c r="C341" s="120">
        <v>2022</v>
      </c>
      <c r="D341" s="327">
        <v>0.4</v>
      </c>
      <c r="E341" s="327"/>
      <c r="F341" s="329">
        <f>100+30+5</f>
        <v>135</v>
      </c>
      <c r="G341" s="121">
        <v>102.28201481481481</v>
      </c>
      <c r="H341" s="146"/>
      <c r="I341" s="31"/>
    </row>
    <row r="342" spans="1:9" ht="21" hidden="1" customHeight="1" x14ac:dyDescent="0.25">
      <c r="A342" s="133" t="s">
        <v>720</v>
      </c>
      <c r="B342" s="86" t="s">
        <v>389</v>
      </c>
      <c r="C342" s="120">
        <v>2022</v>
      </c>
      <c r="D342" s="328"/>
      <c r="E342" s="328"/>
      <c r="F342" s="330"/>
      <c r="G342" s="121">
        <v>30.684604444444446</v>
      </c>
      <c r="H342" s="146"/>
      <c r="I342" s="31"/>
    </row>
    <row r="343" spans="1:9" ht="21" customHeight="1" x14ac:dyDescent="0.25">
      <c r="A343" s="131" t="s">
        <v>719</v>
      </c>
      <c r="B343" s="86" t="s">
        <v>388</v>
      </c>
      <c r="C343" s="120">
        <v>2022</v>
      </c>
      <c r="D343" s="120">
        <v>0.4</v>
      </c>
      <c r="E343" s="120"/>
      <c r="F343" s="120">
        <v>30</v>
      </c>
      <c r="G343" s="121">
        <v>10.178430000000001</v>
      </c>
      <c r="H343" s="146"/>
      <c r="I343" s="31"/>
    </row>
    <row r="344" spans="1:9" ht="21" customHeight="1" x14ac:dyDescent="0.25">
      <c r="A344" s="131" t="s">
        <v>719</v>
      </c>
      <c r="B344" s="111" t="s">
        <v>387</v>
      </c>
      <c r="C344" s="120">
        <v>2022</v>
      </c>
      <c r="D344" s="120">
        <v>0.4</v>
      </c>
      <c r="E344" s="120"/>
      <c r="F344" s="86">
        <v>60</v>
      </c>
      <c r="G344" s="121">
        <v>140.36476999999999</v>
      </c>
      <c r="H344" s="146"/>
      <c r="I344" s="31"/>
    </row>
    <row r="345" spans="1:9" ht="21" customHeight="1" x14ac:dyDescent="0.25">
      <c r="A345" s="131" t="s">
        <v>719</v>
      </c>
      <c r="B345" s="86" t="s">
        <v>385</v>
      </c>
      <c r="C345" s="120">
        <v>2022</v>
      </c>
      <c r="D345" s="120">
        <v>0.4</v>
      </c>
      <c r="E345" s="120"/>
      <c r="F345" s="86">
        <v>50</v>
      </c>
      <c r="G345" s="121">
        <v>10.01036</v>
      </c>
      <c r="H345" s="146"/>
      <c r="I345" s="31"/>
    </row>
    <row r="346" spans="1:9" ht="47.1" hidden="1" customHeight="1" x14ac:dyDescent="0.25">
      <c r="A346" s="35" t="s">
        <v>384</v>
      </c>
      <c r="B346" s="34" t="s">
        <v>383</v>
      </c>
      <c r="C346" s="33"/>
      <c r="D346" s="17"/>
      <c r="E346" s="33"/>
      <c r="F346" s="17"/>
      <c r="G346" s="32"/>
      <c r="H346" s="135"/>
      <c r="I346" s="31"/>
    </row>
    <row r="347" spans="1:9" s="30" customFormat="1" ht="72.599999999999994" hidden="1" customHeight="1" x14ac:dyDescent="0.25">
      <c r="A347" s="25" t="s">
        <v>382</v>
      </c>
      <c r="B347" s="29" t="s">
        <v>381</v>
      </c>
      <c r="C347" s="13"/>
      <c r="D347" s="12"/>
      <c r="E347" s="13"/>
      <c r="F347" s="12"/>
      <c r="G347" s="11"/>
      <c r="H347" s="2"/>
    </row>
    <row r="348" spans="1:9" ht="39.6" hidden="1" customHeight="1" x14ac:dyDescent="0.25">
      <c r="A348" s="25" t="s">
        <v>380</v>
      </c>
      <c r="B348" s="29" t="s">
        <v>326</v>
      </c>
      <c r="C348" s="13"/>
      <c r="D348" s="12"/>
      <c r="E348" s="13"/>
      <c r="F348" s="12"/>
      <c r="G348" s="11"/>
    </row>
    <row r="349" spans="1:9" ht="139.5" hidden="1" customHeight="1" x14ac:dyDescent="0.25">
      <c r="A349" s="25" t="s">
        <v>379</v>
      </c>
      <c r="B349" s="29" t="s">
        <v>378</v>
      </c>
      <c r="C349" s="13"/>
      <c r="D349" s="12"/>
      <c r="E349" s="13"/>
      <c r="F349" s="12"/>
      <c r="G349" s="50"/>
      <c r="H349" s="134"/>
    </row>
    <row r="350" spans="1:9" ht="39.950000000000003" hidden="1" customHeight="1" x14ac:dyDescent="0.25">
      <c r="A350" s="25" t="s">
        <v>377</v>
      </c>
      <c r="B350" s="29" t="s">
        <v>376</v>
      </c>
      <c r="C350" s="13"/>
      <c r="D350" s="12"/>
      <c r="E350" s="13"/>
      <c r="F350" s="12"/>
      <c r="G350" s="50"/>
      <c r="H350" s="134"/>
      <c r="I350" s="1">
        <v>171</v>
      </c>
    </row>
    <row r="351" spans="1:9" x14ac:dyDescent="0.25">
      <c r="A351" s="28" t="s">
        <v>341</v>
      </c>
      <c r="B351" s="27" t="s">
        <v>375</v>
      </c>
      <c r="C351" s="26">
        <v>2020</v>
      </c>
      <c r="D351" s="26">
        <v>0.4</v>
      </c>
      <c r="E351" s="27"/>
      <c r="F351" s="26">
        <v>235</v>
      </c>
      <c r="G351" s="72">
        <v>910.76</v>
      </c>
      <c r="H351" s="140"/>
      <c r="I351" s="1">
        <v>330</v>
      </c>
    </row>
    <row r="352" spans="1:9" x14ac:dyDescent="0.25">
      <c r="A352" s="25" t="s">
        <v>341</v>
      </c>
      <c r="B352" s="24" t="s">
        <v>374</v>
      </c>
      <c r="C352" s="23">
        <v>2020</v>
      </c>
      <c r="D352" s="23">
        <v>0.4</v>
      </c>
      <c r="E352" s="24"/>
      <c r="F352" s="23">
        <v>235</v>
      </c>
      <c r="G352" s="89">
        <v>852.31</v>
      </c>
      <c r="H352" s="140"/>
      <c r="I352" s="1">
        <v>191</v>
      </c>
    </row>
    <row r="353" spans="1:10" x14ac:dyDescent="0.25">
      <c r="A353" s="22" t="s">
        <v>373</v>
      </c>
      <c r="B353" s="20" t="s">
        <v>372</v>
      </c>
      <c r="C353" s="12">
        <v>2020</v>
      </c>
      <c r="D353" s="12">
        <v>0.4</v>
      </c>
      <c r="E353" s="13"/>
      <c r="F353" s="12">
        <f>400*0.94</f>
        <v>376</v>
      </c>
      <c r="G353" s="50">
        <v>1013.49</v>
      </c>
      <c r="H353" s="134"/>
      <c r="I353" s="1">
        <v>320</v>
      </c>
    </row>
    <row r="354" spans="1:10" x14ac:dyDescent="0.25">
      <c r="A354" s="22" t="s">
        <v>371</v>
      </c>
      <c r="B354" s="20" t="s">
        <v>370</v>
      </c>
      <c r="C354" s="12">
        <v>2020</v>
      </c>
      <c r="D354" s="12">
        <v>0.4</v>
      </c>
      <c r="E354" s="13"/>
      <c r="F354" s="12">
        <f>630*0.94</f>
        <v>592.19999999999993</v>
      </c>
      <c r="G354" s="50">
        <v>1077.1400000000001</v>
      </c>
      <c r="H354" s="134"/>
      <c r="I354" s="1">
        <v>338</v>
      </c>
    </row>
    <row r="355" spans="1:10" x14ac:dyDescent="0.25">
      <c r="A355" s="22" t="s">
        <v>366</v>
      </c>
      <c r="B355" s="20" t="s">
        <v>369</v>
      </c>
      <c r="C355" s="12">
        <v>2020</v>
      </c>
      <c r="D355" s="12">
        <v>0.4</v>
      </c>
      <c r="E355" s="13"/>
      <c r="F355" s="12">
        <f>40*0.94</f>
        <v>37.599999999999994</v>
      </c>
      <c r="G355" s="50">
        <v>284.35000000000002</v>
      </c>
      <c r="H355" s="134"/>
      <c r="I355" s="1">
        <v>325</v>
      </c>
    </row>
    <row r="356" spans="1:10" ht="19.5" customHeight="1" x14ac:dyDescent="0.25">
      <c r="A356" s="22" t="s">
        <v>368</v>
      </c>
      <c r="B356" s="20" t="s">
        <v>367</v>
      </c>
      <c r="C356" s="12">
        <v>2020</v>
      </c>
      <c r="D356" s="12">
        <v>0.4</v>
      </c>
      <c r="E356" s="13"/>
      <c r="F356" s="12">
        <f>250*0.94</f>
        <v>235</v>
      </c>
      <c r="G356" s="11">
        <v>2822.44</v>
      </c>
      <c r="I356" s="1">
        <v>6960.49</v>
      </c>
      <c r="J356" s="1">
        <v>8154.77</v>
      </c>
    </row>
    <row r="357" spans="1:10" ht="22.5" customHeight="1" x14ac:dyDescent="0.25">
      <c r="A357" s="22" t="s">
        <v>366</v>
      </c>
      <c r="B357" s="20" t="s">
        <v>365</v>
      </c>
      <c r="C357" s="12">
        <v>2021</v>
      </c>
      <c r="D357" s="12">
        <v>0.4</v>
      </c>
      <c r="E357" s="13"/>
      <c r="F357" s="12">
        <v>37.6</v>
      </c>
      <c r="G357" s="11">
        <v>274.38499999999999</v>
      </c>
      <c r="I357" s="1" t="s">
        <v>364</v>
      </c>
      <c r="J357" s="1" t="s">
        <v>363</v>
      </c>
    </row>
    <row r="358" spans="1:10" ht="19.5" customHeight="1" x14ac:dyDescent="0.25">
      <c r="A358" s="22" t="s">
        <v>341</v>
      </c>
      <c r="B358" s="20" t="s">
        <v>362</v>
      </c>
      <c r="C358" s="12">
        <v>2021</v>
      </c>
      <c r="D358" s="12">
        <v>0.4</v>
      </c>
      <c r="E358" s="13"/>
      <c r="F358" s="12">
        <v>235</v>
      </c>
      <c r="G358" s="11">
        <v>1006.06</v>
      </c>
      <c r="I358" s="1" t="s">
        <v>361</v>
      </c>
      <c r="J358" s="1" t="s">
        <v>360</v>
      </c>
    </row>
    <row r="359" spans="1:10" ht="18" customHeight="1" x14ac:dyDescent="0.25">
      <c r="A359" s="22" t="s">
        <v>337</v>
      </c>
      <c r="B359" s="20" t="s">
        <v>359</v>
      </c>
      <c r="C359" s="12">
        <v>2021</v>
      </c>
      <c r="D359" s="12">
        <v>0.4</v>
      </c>
      <c r="E359" s="13"/>
      <c r="F359" s="12">
        <v>235</v>
      </c>
      <c r="G359" s="11">
        <v>977.08299999999997</v>
      </c>
      <c r="I359" s="1" t="s">
        <v>358</v>
      </c>
      <c r="J359" s="1" t="s">
        <v>357</v>
      </c>
    </row>
    <row r="360" spans="1:10" ht="18" customHeight="1" x14ac:dyDescent="0.25">
      <c r="A360" s="22" t="s">
        <v>341</v>
      </c>
      <c r="B360" s="20" t="s">
        <v>356</v>
      </c>
      <c r="C360" s="12">
        <v>2020</v>
      </c>
      <c r="D360" s="12">
        <v>0.4</v>
      </c>
      <c r="E360" s="13"/>
      <c r="F360" s="12">
        <v>235</v>
      </c>
      <c r="G360" s="11">
        <v>54.402900000000002</v>
      </c>
      <c r="I360" s="1" t="s">
        <v>355</v>
      </c>
    </row>
    <row r="361" spans="1:10" ht="18" customHeight="1" x14ac:dyDescent="0.25">
      <c r="A361" s="22" t="s">
        <v>337</v>
      </c>
      <c r="B361" s="20" t="s">
        <v>354</v>
      </c>
      <c r="C361" s="12">
        <v>2021</v>
      </c>
      <c r="D361" s="12">
        <v>0.4</v>
      </c>
      <c r="E361" s="13"/>
      <c r="F361" s="12">
        <v>150</v>
      </c>
      <c r="G361" s="11">
        <v>141.39500000000001</v>
      </c>
      <c r="I361" s="1" t="s">
        <v>353</v>
      </c>
      <c r="J361" s="1" t="s">
        <v>352</v>
      </c>
    </row>
    <row r="362" spans="1:10" ht="18" hidden="1" customHeight="1" x14ac:dyDescent="0.25">
      <c r="A362" s="102" t="s">
        <v>341</v>
      </c>
      <c r="B362" s="94" t="s">
        <v>100</v>
      </c>
      <c r="C362" s="95">
        <v>2022</v>
      </c>
      <c r="D362" s="96" t="s">
        <v>339</v>
      </c>
      <c r="E362" s="320" t="s">
        <v>334</v>
      </c>
      <c r="F362" s="323">
        <f>250*0.93</f>
        <v>232.5</v>
      </c>
      <c r="G362" s="98">
        <v>58.758555483870971</v>
      </c>
      <c r="H362" s="146"/>
    </row>
    <row r="363" spans="1:10" ht="18" hidden="1" customHeight="1" x14ac:dyDescent="0.25">
      <c r="A363" s="102" t="s">
        <v>341</v>
      </c>
      <c r="B363" s="94" t="s">
        <v>99</v>
      </c>
      <c r="C363" s="95">
        <v>2022</v>
      </c>
      <c r="D363" s="96" t="s">
        <v>339</v>
      </c>
      <c r="E363" s="322"/>
      <c r="F363" s="325"/>
      <c r="G363" s="98">
        <v>58.758555483870971</v>
      </c>
      <c r="H363" s="146"/>
    </row>
    <row r="364" spans="1:10" ht="18" hidden="1" customHeight="1" x14ac:dyDescent="0.25">
      <c r="A364" s="102" t="s">
        <v>333</v>
      </c>
      <c r="B364" s="94" t="s">
        <v>686</v>
      </c>
      <c r="C364" s="95">
        <v>2022</v>
      </c>
      <c r="D364" s="96" t="s">
        <v>331</v>
      </c>
      <c r="E364" s="103" t="s">
        <v>334</v>
      </c>
      <c r="F364" s="104">
        <f>400*0.94</f>
        <v>376</v>
      </c>
      <c r="G364" s="98">
        <v>23.651841702127662</v>
      </c>
      <c r="H364" s="146"/>
    </row>
    <row r="365" spans="1:10" ht="18" hidden="1" customHeight="1" x14ac:dyDescent="0.25">
      <c r="A365" s="102" t="s">
        <v>351</v>
      </c>
      <c r="B365" s="94" t="s">
        <v>98</v>
      </c>
      <c r="C365" s="95">
        <v>2022</v>
      </c>
      <c r="D365" s="96" t="s">
        <v>339</v>
      </c>
      <c r="E365" s="320" t="s">
        <v>334</v>
      </c>
      <c r="F365" s="323">
        <f>100*0.93</f>
        <v>93</v>
      </c>
      <c r="G365" s="98">
        <v>137.4381193548387</v>
      </c>
      <c r="H365" s="146"/>
    </row>
    <row r="366" spans="1:10" ht="18" hidden="1" customHeight="1" x14ac:dyDescent="0.25">
      <c r="A366" s="102" t="s">
        <v>351</v>
      </c>
      <c r="B366" s="94" t="s">
        <v>97</v>
      </c>
      <c r="C366" s="95">
        <v>2022</v>
      </c>
      <c r="D366" s="96" t="s">
        <v>339</v>
      </c>
      <c r="E366" s="322"/>
      <c r="F366" s="325"/>
      <c r="G366" s="98">
        <v>137.4381193548387</v>
      </c>
      <c r="H366" s="146"/>
    </row>
    <row r="367" spans="1:10" ht="18" hidden="1" customHeight="1" x14ac:dyDescent="0.25">
      <c r="A367" s="102" t="s">
        <v>341</v>
      </c>
      <c r="B367" s="94" t="s">
        <v>96</v>
      </c>
      <c r="C367" s="95">
        <v>2022</v>
      </c>
      <c r="D367" s="96" t="s">
        <v>339</v>
      </c>
      <c r="E367" s="320" t="s">
        <v>334</v>
      </c>
      <c r="F367" s="323">
        <f>250*0.93</f>
        <v>232.5</v>
      </c>
      <c r="G367" s="98">
        <v>85.336790967741933</v>
      </c>
      <c r="H367" s="146"/>
    </row>
    <row r="368" spans="1:10" ht="18" hidden="1" customHeight="1" x14ac:dyDescent="0.25">
      <c r="A368" s="102" t="s">
        <v>341</v>
      </c>
      <c r="B368" s="94" t="s">
        <v>95</v>
      </c>
      <c r="C368" s="95">
        <v>2022</v>
      </c>
      <c r="D368" s="96" t="s">
        <v>339</v>
      </c>
      <c r="E368" s="321"/>
      <c r="F368" s="324"/>
      <c r="G368" s="98">
        <v>85.336790967741933</v>
      </c>
      <c r="H368" s="146"/>
    </row>
    <row r="369" spans="1:9" ht="18" hidden="1" customHeight="1" x14ac:dyDescent="0.25">
      <c r="A369" s="102" t="s">
        <v>341</v>
      </c>
      <c r="B369" s="94" t="s">
        <v>94</v>
      </c>
      <c r="C369" s="95">
        <v>2022</v>
      </c>
      <c r="D369" s="96" t="s">
        <v>339</v>
      </c>
      <c r="E369" s="322"/>
      <c r="F369" s="325"/>
      <c r="G369" s="98">
        <v>28.44559698924731</v>
      </c>
      <c r="H369" s="146"/>
    </row>
    <row r="370" spans="1:9" ht="18" hidden="1" customHeight="1" x14ac:dyDescent="0.25">
      <c r="A370" s="90" t="s">
        <v>721</v>
      </c>
      <c r="B370" s="91" t="s">
        <v>350</v>
      </c>
      <c r="C370" s="87">
        <v>2022</v>
      </c>
      <c r="D370" s="87" t="s">
        <v>331</v>
      </c>
      <c r="E370" s="92" t="s">
        <v>334</v>
      </c>
      <c r="F370" s="87">
        <v>150.39999999999998</v>
      </c>
      <c r="G370" s="11">
        <v>811.24816128989369</v>
      </c>
      <c r="H370" s="146"/>
      <c r="I370" s="1" t="s">
        <v>711</v>
      </c>
    </row>
    <row r="371" spans="1:9" ht="18" hidden="1" customHeight="1" x14ac:dyDescent="0.25">
      <c r="A371" s="90" t="s">
        <v>721</v>
      </c>
      <c r="B371" s="91" t="s">
        <v>349</v>
      </c>
      <c r="C371" s="87">
        <v>2022</v>
      </c>
      <c r="D371" s="87" t="s">
        <v>331</v>
      </c>
      <c r="E371" s="92" t="s">
        <v>334</v>
      </c>
      <c r="F371" s="87">
        <v>250</v>
      </c>
      <c r="G371" s="11">
        <v>806.49431399999992</v>
      </c>
      <c r="H371" s="146"/>
    </row>
    <row r="372" spans="1:9" ht="18" hidden="1" customHeight="1" x14ac:dyDescent="0.25">
      <c r="A372" s="90" t="s">
        <v>721</v>
      </c>
      <c r="B372" s="91" t="s">
        <v>348</v>
      </c>
      <c r="C372" s="87">
        <v>2022</v>
      </c>
      <c r="D372" s="87" t="s">
        <v>331</v>
      </c>
      <c r="E372" s="92"/>
      <c r="F372" s="87"/>
      <c r="G372" s="11">
        <v>537.66287599999998</v>
      </c>
      <c r="H372" s="146"/>
    </row>
    <row r="373" spans="1:9" ht="18" hidden="1" customHeight="1" x14ac:dyDescent="0.25">
      <c r="A373" s="21" t="s">
        <v>721</v>
      </c>
      <c r="B373" s="20" t="s">
        <v>347</v>
      </c>
      <c r="C373" s="12">
        <v>2022</v>
      </c>
      <c r="D373" s="12" t="s">
        <v>331</v>
      </c>
      <c r="E373" s="13" t="s">
        <v>334</v>
      </c>
      <c r="F373" s="12">
        <v>235</v>
      </c>
      <c r="G373" s="11">
        <v>202.79097021276596</v>
      </c>
      <c r="H373" s="146"/>
    </row>
    <row r="374" spans="1:9" ht="18" hidden="1" customHeight="1" x14ac:dyDescent="0.25">
      <c r="A374" s="21" t="s">
        <v>722</v>
      </c>
      <c r="B374" s="20" t="s">
        <v>346</v>
      </c>
      <c r="C374" s="12">
        <v>2022</v>
      </c>
      <c r="D374" s="12" t="s">
        <v>331</v>
      </c>
      <c r="E374" s="13" t="s">
        <v>334</v>
      </c>
      <c r="F374" s="12">
        <v>376</v>
      </c>
      <c r="G374" s="11">
        <v>147.82401063829789</v>
      </c>
      <c r="H374" s="146"/>
    </row>
    <row r="375" spans="1:9" ht="18" hidden="1" customHeight="1" x14ac:dyDescent="0.25">
      <c r="A375" s="21" t="s">
        <v>722</v>
      </c>
      <c r="B375" s="20" t="s">
        <v>345</v>
      </c>
      <c r="C375" s="12">
        <v>2022</v>
      </c>
      <c r="D375" s="12" t="s">
        <v>331</v>
      </c>
      <c r="E375" s="13"/>
      <c r="F375" s="12"/>
      <c r="G375" s="11">
        <v>443.47203191489365</v>
      </c>
      <c r="H375" s="146"/>
    </row>
    <row r="376" spans="1:9" ht="18" hidden="1" customHeight="1" x14ac:dyDescent="0.25">
      <c r="A376" s="21" t="s">
        <v>722</v>
      </c>
      <c r="B376" s="20" t="s">
        <v>344</v>
      </c>
      <c r="C376" s="12">
        <v>2022</v>
      </c>
      <c r="D376" s="12" t="s">
        <v>331</v>
      </c>
      <c r="E376" s="13"/>
      <c r="F376" s="12"/>
      <c r="G376" s="11">
        <v>443.47203191489365</v>
      </c>
      <c r="H376" s="146"/>
    </row>
    <row r="377" spans="1:9" ht="18" customHeight="1" x14ac:dyDescent="0.25">
      <c r="A377" s="21" t="s">
        <v>723</v>
      </c>
      <c r="B377" s="20" t="s">
        <v>343</v>
      </c>
      <c r="C377" s="12">
        <v>2022</v>
      </c>
      <c r="D377" s="12">
        <v>0.4</v>
      </c>
      <c r="E377" s="13" t="s">
        <v>334</v>
      </c>
      <c r="F377" s="12">
        <v>65</v>
      </c>
      <c r="G377" s="11">
        <v>747.34202925531918</v>
      </c>
      <c r="H377" s="146"/>
    </row>
    <row r="378" spans="1:9" ht="18" customHeight="1" x14ac:dyDescent="0.25">
      <c r="A378" s="21" t="s">
        <v>724</v>
      </c>
      <c r="B378" s="20" t="s">
        <v>342</v>
      </c>
      <c r="C378" s="12">
        <v>2022</v>
      </c>
      <c r="D378" s="12">
        <v>0.4</v>
      </c>
      <c r="E378" s="13" t="s">
        <v>334</v>
      </c>
      <c r="F378" s="12">
        <v>232.5</v>
      </c>
      <c r="G378" s="11">
        <v>853.36790967741933</v>
      </c>
      <c r="H378" s="146"/>
    </row>
    <row r="379" spans="1:9" ht="18" customHeight="1" x14ac:dyDescent="0.25">
      <c r="A379" s="21" t="s">
        <v>724</v>
      </c>
      <c r="B379" s="20" t="s">
        <v>340</v>
      </c>
      <c r="C379" s="12">
        <v>2022</v>
      </c>
      <c r="D379" s="12">
        <v>0.4</v>
      </c>
      <c r="E379" s="13" t="s">
        <v>334</v>
      </c>
      <c r="F379" s="12">
        <v>232.5</v>
      </c>
      <c r="G379" s="11">
        <v>432.71317419354841</v>
      </c>
      <c r="H379" s="146"/>
    </row>
    <row r="380" spans="1:9" ht="18" customHeight="1" x14ac:dyDescent="0.25">
      <c r="A380" s="21" t="s">
        <v>721</v>
      </c>
      <c r="B380" s="20" t="s">
        <v>338</v>
      </c>
      <c r="C380" s="12">
        <v>2022</v>
      </c>
      <c r="D380" s="12">
        <v>0.4</v>
      </c>
      <c r="E380" s="13" t="s">
        <v>334</v>
      </c>
      <c r="F380" s="12">
        <v>150.39999999999998</v>
      </c>
      <c r="G380" s="11">
        <v>913.50110372340441</v>
      </c>
      <c r="H380" s="146"/>
    </row>
    <row r="381" spans="1:9" ht="18" customHeight="1" x14ac:dyDescent="0.25">
      <c r="A381" s="21" t="s">
        <v>721</v>
      </c>
      <c r="B381" s="20" t="s">
        <v>336</v>
      </c>
      <c r="C381" s="12">
        <v>2022</v>
      </c>
      <c r="D381" s="12">
        <v>0.4</v>
      </c>
      <c r="E381" s="13" t="s">
        <v>334</v>
      </c>
      <c r="F381" s="12">
        <v>150.39999999999998</v>
      </c>
      <c r="G381" s="11">
        <v>782.22705452127673</v>
      </c>
      <c r="H381" s="146"/>
    </row>
    <row r="382" spans="1:9" ht="18" hidden="1" customHeight="1" x14ac:dyDescent="0.25">
      <c r="A382" s="21" t="s">
        <v>722</v>
      </c>
      <c r="B382" s="20" t="s">
        <v>335</v>
      </c>
      <c r="C382" s="12">
        <v>2022</v>
      </c>
      <c r="D382" s="12" t="s">
        <v>331</v>
      </c>
      <c r="E382" s="13" t="s">
        <v>334</v>
      </c>
      <c r="F382" s="12">
        <v>376</v>
      </c>
      <c r="G382" s="11">
        <v>558.5339800531915</v>
      </c>
      <c r="H382" s="146"/>
    </row>
    <row r="383" spans="1:9" ht="18" hidden="1" customHeight="1" x14ac:dyDescent="0.25">
      <c r="A383" s="21" t="s">
        <v>722</v>
      </c>
      <c r="B383" s="20" t="s">
        <v>332</v>
      </c>
      <c r="C383" s="12">
        <v>2022</v>
      </c>
      <c r="D383" s="12"/>
      <c r="E383" s="13"/>
      <c r="F383" s="12"/>
      <c r="G383" s="11">
        <v>558.5339800531915</v>
      </c>
      <c r="H383" s="146"/>
    </row>
    <row r="384" spans="1:9" ht="43.5" hidden="1" customHeight="1" x14ac:dyDescent="0.25">
      <c r="A384" s="19">
        <v>7</v>
      </c>
      <c r="B384" s="18" t="s">
        <v>330</v>
      </c>
      <c r="C384" s="12"/>
      <c r="D384" s="12"/>
      <c r="E384" s="13"/>
      <c r="F384" s="12"/>
      <c r="G384" s="11"/>
    </row>
    <row r="385" spans="1:11" ht="47.25" hidden="1" x14ac:dyDescent="0.25">
      <c r="A385" s="12" t="s">
        <v>329</v>
      </c>
      <c r="B385" s="14" t="s">
        <v>328</v>
      </c>
      <c r="C385" s="12"/>
      <c r="D385" s="12"/>
      <c r="E385" s="13"/>
      <c r="F385" s="12"/>
      <c r="G385" s="11"/>
    </row>
    <row r="386" spans="1:11" ht="31.5" hidden="1" x14ac:dyDescent="0.25">
      <c r="A386" s="12" t="s">
        <v>327</v>
      </c>
      <c r="B386" s="14" t="s">
        <v>326</v>
      </c>
      <c r="C386" s="12"/>
      <c r="D386" s="12"/>
      <c r="E386" s="13"/>
      <c r="F386" s="12"/>
      <c r="G386" s="11"/>
    </row>
    <row r="387" spans="1:11" ht="141.75" hidden="1" x14ac:dyDescent="0.25">
      <c r="A387" s="12" t="s">
        <v>325</v>
      </c>
      <c r="B387" s="14" t="s">
        <v>324</v>
      </c>
      <c r="C387" s="12"/>
      <c r="D387" s="12"/>
      <c r="E387" s="13"/>
      <c r="F387" s="12"/>
      <c r="G387" s="11"/>
    </row>
    <row r="388" spans="1:11" ht="18" hidden="1" customHeight="1" x14ac:dyDescent="0.25">
      <c r="A388" s="12" t="s">
        <v>323</v>
      </c>
      <c r="B388" s="14" t="s">
        <v>322</v>
      </c>
      <c r="C388" s="12"/>
      <c r="D388" s="12"/>
      <c r="E388" s="13"/>
      <c r="F388" s="12"/>
      <c r="G388" s="11"/>
    </row>
    <row r="389" spans="1:11" ht="31.5" hidden="1" x14ac:dyDescent="0.25">
      <c r="A389" s="17">
        <v>8</v>
      </c>
      <c r="B389" s="16" t="s">
        <v>321</v>
      </c>
      <c r="C389" s="12"/>
      <c r="D389" s="12"/>
      <c r="E389" s="13"/>
      <c r="F389" s="12"/>
      <c r="G389" s="11"/>
    </row>
    <row r="390" spans="1:11" ht="31.5" hidden="1" x14ac:dyDescent="0.25">
      <c r="A390" s="12" t="s">
        <v>320</v>
      </c>
      <c r="B390" s="14" t="s">
        <v>319</v>
      </c>
      <c r="C390" s="12"/>
      <c r="D390" s="12"/>
      <c r="E390" s="13"/>
      <c r="F390" s="12"/>
      <c r="G390" s="11"/>
    </row>
    <row r="391" spans="1:11" ht="110.25" hidden="1" x14ac:dyDescent="0.25">
      <c r="A391" s="12" t="s">
        <v>318</v>
      </c>
      <c r="B391" s="14" t="s">
        <v>317</v>
      </c>
      <c r="C391" s="12"/>
      <c r="D391" s="12"/>
      <c r="E391" s="13"/>
      <c r="F391" s="12"/>
      <c r="G391" s="11"/>
    </row>
    <row r="392" spans="1:11" hidden="1" x14ac:dyDescent="0.25">
      <c r="A392" s="12" t="s">
        <v>316</v>
      </c>
      <c r="B392" s="14" t="s">
        <v>315</v>
      </c>
      <c r="C392" s="12"/>
      <c r="D392" s="12"/>
      <c r="E392" s="13"/>
      <c r="F392" s="12"/>
      <c r="G392" s="11"/>
    </row>
    <row r="393" spans="1:11" ht="47.25" hidden="1" x14ac:dyDescent="0.25">
      <c r="A393" s="17" t="s">
        <v>314</v>
      </c>
      <c r="B393" s="16" t="s">
        <v>313</v>
      </c>
      <c r="C393" s="13"/>
      <c r="D393" s="12"/>
      <c r="E393" s="13"/>
      <c r="F393" s="12"/>
      <c r="G393" s="11"/>
    </row>
    <row r="394" spans="1:11" ht="33" hidden="1" customHeight="1" x14ac:dyDescent="0.25">
      <c r="A394" s="12" t="s">
        <v>312</v>
      </c>
      <c r="B394" s="14" t="s">
        <v>311</v>
      </c>
      <c r="C394" s="13"/>
      <c r="D394" s="12"/>
      <c r="E394" s="13"/>
      <c r="F394" s="12"/>
      <c r="G394" s="11"/>
    </row>
    <row r="395" spans="1:11" ht="35.25" hidden="1" customHeight="1" x14ac:dyDescent="0.25">
      <c r="A395" s="12" t="s">
        <v>310</v>
      </c>
      <c r="B395" s="14" t="s">
        <v>309</v>
      </c>
      <c r="C395" s="13"/>
      <c r="D395" s="12"/>
      <c r="E395" s="13"/>
      <c r="F395" s="12"/>
      <c r="G395" s="11"/>
      <c r="I395" s="15">
        <v>12729.13</v>
      </c>
      <c r="J395" s="1">
        <v>1000</v>
      </c>
      <c r="K395" s="1">
        <f>G396*J395</f>
        <v>12730</v>
      </c>
    </row>
    <row r="396" spans="1:11" x14ac:dyDescent="0.25">
      <c r="A396" s="12" t="s">
        <v>5</v>
      </c>
      <c r="B396" s="14" t="s">
        <v>308</v>
      </c>
      <c r="C396" s="12">
        <v>2020</v>
      </c>
      <c r="D396" s="12">
        <v>0.4</v>
      </c>
      <c r="E396" s="13"/>
      <c r="F396" s="12">
        <v>5</v>
      </c>
      <c r="G396" s="11">
        <v>12.73</v>
      </c>
      <c r="I396" s="1">
        <v>27961.040000000001</v>
      </c>
      <c r="J396" s="1">
        <v>1000</v>
      </c>
    </row>
    <row r="397" spans="1:11" x14ac:dyDescent="0.25">
      <c r="A397" s="12" t="s">
        <v>13</v>
      </c>
      <c r="B397" s="14" t="s">
        <v>307</v>
      </c>
      <c r="C397" s="12">
        <v>2020</v>
      </c>
      <c r="D397" s="12">
        <v>0.4</v>
      </c>
      <c r="E397" s="13"/>
      <c r="F397" s="12">
        <v>15</v>
      </c>
      <c r="G397" s="11">
        <v>27.96</v>
      </c>
      <c r="I397" s="1">
        <v>16197.9</v>
      </c>
      <c r="J397" s="1">
        <v>1000</v>
      </c>
    </row>
    <row r="398" spans="1:11" x14ac:dyDescent="0.25">
      <c r="A398" s="12" t="s">
        <v>13</v>
      </c>
      <c r="B398" s="14" t="s">
        <v>306</v>
      </c>
      <c r="C398" s="12">
        <v>2020</v>
      </c>
      <c r="D398" s="12">
        <v>0.4</v>
      </c>
      <c r="E398" s="13"/>
      <c r="F398" s="12">
        <v>15</v>
      </c>
      <c r="G398" s="11">
        <v>16.2</v>
      </c>
      <c r="I398" s="1">
        <v>7380.55</v>
      </c>
      <c r="J398" s="1">
        <v>1000</v>
      </c>
    </row>
    <row r="399" spans="1:11" x14ac:dyDescent="0.25">
      <c r="A399" s="12" t="s">
        <v>5</v>
      </c>
      <c r="B399" s="14" t="s">
        <v>305</v>
      </c>
      <c r="C399" s="12">
        <v>2020</v>
      </c>
      <c r="D399" s="12">
        <v>0.4</v>
      </c>
      <c r="E399" s="13"/>
      <c r="F399" s="12">
        <v>5</v>
      </c>
      <c r="G399" s="11">
        <v>7.38</v>
      </c>
      <c r="I399" s="1">
        <v>21303.94</v>
      </c>
      <c r="J399" s="1">
        <v>1000</v>
      </c>
    </row>
    <row r="400" spans="1:11" x14ac:dyDescent="0.25">
      <c r="A400" s="12" t="s">
        <v>13</v>
      </c>
      <c r="B400" s="14" t="s">
        <v>304</v>
      </c>
      <c r="C400" s="12">
        <v>2020</v>
      </c>
      <c r="D400" s="12">
        <v>0.4</v>
      </c>
      <c r="E400" s="13"/>
      <c r="F400" s="12">
        <v>15</v>
      </c>
      <c r="G400" s="11">
        <v>21.64</v>
      </c>
      <c r="I400" s="1">
        <v>21643.1</v>
      </c>
      <c r="J400" s="1">
        <v>1000</v>
      </c>
    </row>
    <row r="401" spans="1:10" x14ac:dyDescent="0.25">
      <c r="A401" s="12" t="s">
        <v>13</v>
      </c>
      <c r="B401" s="14" t="s">
        <v>303</v>
      </c>
      <c r="C401" s="12">
        <v>2020</v>
      </c>
      <c r="D401" s="12">
        <v>0.4</v>
      </c>
      <c r="E401" s="13"/>
      <c r="F401" s="12">
        <v>15</v>
      </c>
      <c r="G401" s="11">
        <v>21.3</v>
      </c>
      <c r="I401" s="1">
        <v>11660.7</v>
      </c>
      <c r="J401" s="1">
        <v>1000</v>
      </c>
    </row>
    <row r="402" spans="1:10" x14ac:dyDescent="0.25">
      <c r="A402" s="12" t="s">
        <v>5</v>
      </c>
      <c r="B402" s="14" t="s">
        <v>302</v>
      </c>
      <c r="C402" s="12">
        <v>2020</v>
      </c>
      <c r="D402" s="12">
        <v>0.4</v>
      </c>
      <c r="E402" s="13"/>
      <c r="F402" s="12">
        <v>5</v>
      </c>
      <c r="G402" s="11">
        <v>11.66</v>
      </c>
      <c r="I402" s="1">
        <v>11660.7</v>
      </c>
      <c r="J402" s="1">
        <v>1000</v>
      </c>
    </row>
    <row r="403" spans="1:10" x14ac:dyDescent="0.25">
      <c r="A403" s="12" t="s">
        <v>5</v>
      </c>
      <c r="B403" s="14" t="s">
        <v>301</v>
      </c>
      <c r="C403" s="12">
        <v>2020</v>
      </c>
      <c r="D403" s="12">
        <v>0.4</v>
      </c>
      <c r="E403" s="13"/>
      <c r="F403" s="12">
        <v>5</v>
      </c>
      <c r="G403" s="11">
        <v>11.66</v>
      </c>
      <c r="I403" s="1">
        <v>13351.58</v>
      </c>
      <c r="J403" s="1">
        <v>1000</v>
      </c>
    </row>
    <row r="404" spans="1:10" x14ac:dyDescent="0.25">
      <c r="A404" s="12" t="s">
        <v>9</v>
      </c>
      <c r="B404" s="14" t="s">
        <v>300</v>
      </c>
      <c r="C404" s="12">
        <v>2020</v>
      </c>
      <c r="D404" s="12">
        <v>0.4</v>
      </c>
      <c r="E404" s="13"/>
      <c r="F404" s="12">
        <v>50</v>
      </c>
      <c r="G404" s="11">
        <v>13.35</v>
      </c>
      <c r="I404" s="1">
        <v>15126.54</v>
      </c>
      <c r="J404" s="1">
        <v>1000</v>
      </c>
    </row>
    <row r="405" spans="1:10" x14ac:dyDescent="0.25">
      <c r="A405" s="12" t="s">
        <v>5</v>
      </c>
      <c r="B405" s="14" t="s">
        <v>299</v>
      </c>
      <c r="C405" s="12">
        <v>2020</v>
      </c>
      <c r="D405" s="12">
        <v>0.4</v>
      </c>
      <c r="E405" s="13"/>
      <c r="F405" s="12">
        <v>5</v>
      </c>
      <c r="G405" s="11">
        <v>15.13</v>
      </c>
      <c r="I405" s="1">
        <v>14272.14</v>
      </c>
      <c r="J405" s="1">
        <v>1000</v>
      </c>
    </row>
    <row r="406" spans="1:10" x14ac:dyDescent="0.25">
      <c r="A406" s="12" t="s">
        <v>5</v>
      </c>
      <c r="B406" s="14" t="s">
        <v>298</v>
      </c>
      <c r="C406" s="12">
        <v>2020</v>
      </c>
      <c r="D406" s="12">
        <v>0.4</v>
      </c>
      <c r="E406" s="13"/>
      <c r="F406" s="12">
        <v>5</v>
      </c>
      <c r="G406" s="11">
        <v>14.27</v>
      </c>
    </row>
    <row r="407" spans="1:10" x14ac:dyDescent="0.25">
      <c r="A407" s="12" t="s">
        <v>13</v>
      </c>
      <c r="B407" s="14" t="s">
        <v>297</v>
      </c>
      <c r="C407" s="12">
        <v>2021</v>
      </c>
      <c r="D407" s="12">
        <v>0.4</v>
      </c>
      <c r="E407" s="13"/>
      <c r="F407" s="12">
        <v>15</v>
      </c>
      <c r="G407" s="11">
        <f>22046.25/1000</f>
        <v>22.046250000000001</v>
      </c>
      <c r="I407" s="1" t="s">
        <v>296</v>
      </c>
    </row>
    <row r="408" spans="1:10" x14ac:dyDescent="0.25">
      <c r="A408" s="12" t="s">
        <v>5</v>
      </c>
      <c r="B408" s="14" t="s">
        <v>295</v>
      </c>
      <c r="C408" s="12">
        <v>2021</v>
      </c>
      <c r="D408" s="12">
        <v>0.4</v>
      </c>
      <c r="E408" s="13"/>
      <c r="F408" s="12">
        <v>5</v>
      </c>
      <c r="G408" s="11">
        <f>13092.91/1000</f>
        <v>13.09291</v>
      </c>
    </row>
    <row r="409" spans="1:10" x14ac:dyDescent="0.25">
      <c r="A409" s="12" t="s">
        <v>13</v>
      </c>
      <c r="B409" s="14" t="s">
        <v>294</v>
      </c>
      <c r="C409" s="12">
        <v>2021</v>
      </c>
      <c r="D409" s="12">
        <v>0.4</v>
      </c>
      <c r="E409" s="13"/>
      <c r="F409" s="12">
        <v>15</v>
      </c>
      <c r="G409" s="11">
        <f>23559.17/1000</f>
        <v>23.559169999999998</v>
      </c>
    </row>
    <row r="410" spans="1:10" x14ac:dyDescent="0.25">
      <c r="A410" s="12" t="s">
        <v>5</v>
      </c>
      <c r="B410" s="14" t="s">
        <v>293</v>
      </c>
      <c r="C410" s="12">
        <v>2021</v>
      </c>
      <c r="D410" s="12">
        <v>0.4</v>
      </c>
      <c r="E410" s="13"/>
      <c r="F410" s="12">
        <v>15</v>
      </c>
      <c r="G410" s="11">
        <f>23331.25/1000</f>
        <v>23.331250000000001</v>
      </c>
      <c r="I410" s="15"/>
    </row>
    <row r="411" spans="1:10" x14ac:dyDescent="0.25">
      <c r="A411" s="12" t="s">
        <v>5</v>
      </c>
      <c r="B411" s="14" t="s">
        <v>292</v>
      </c>
      <c r="C411" s="12">
        <v>2021</v>
      </c>
      <c r="D411" s="12">
        <v>0.4</v>
      </c>
      <c r="E411" s="13"/>
      <c r="F411" s="12">
        <v>5</v>
      </c>
      <c r="G411" s="11">
        <f>13029.88/1000</f>
        <v>13.029879999999999</v>
      </c>
    </row>
    <row r="412" spans="1:10" x14ac:dyDescent="0.25">
      <c r="A412" s="12" t="s">
        <v>5</v>
      </c>
      <c r="B412" s="14" t="s">
        <v>291</v>
      </c>
      <c r="C412" s="12">
        <v>2021</v>
      </c>
      <c r="D412" s="12">
        <v>0.4</v>
      </c>
      <c r="E412" s="13"/>
      <c r="F412" s="12">
        <v>5</v>
      </c>
      <c r="G412" s="11">
        <f>13075.41/1000</f>
        <v>13.07541</v>
      </c>
    </row>
    <row r="413" spans="1:10" x14ac:dyDescent="0.25">
      <c r="A413" s="12" t="s">
        <v>13</v>
      </c>
      <c r="B413" s="14" t="s">
        <v>290</v>
      </c>
      <c r="C413" s="12">
        <v>2021</v>
      </c>
      <c r="D413" s="12">
        <v>0.4</v>
      </c>
      <c r="E413" s="13"/>
      <c r="F413" s="12">
        <v>15</v>
      </c>
      <c r="G413" s="11">
        <f>23218.75/1000</f>
        <v>23.21875</v>
      </c>
    </row>
    <row r="414" spans="1:10" x14ac:dyDescent="0.25">
      <c r="A414" s="12" t="s">
        <v>5</v>
      </c>
      <c r="B414" s="14" t="s">
        <v>289</v>
      </c>
      <c r="C414" s="12">
        <v>2021</v>
      </c>
      <c r="D414" s="12">
        <v>0.4</v>
      </c>
      <c r="E414" s="13"/>
      <c r="F414" s="12">
        <v>5</v>
      </c>
      <c r="G414" s="11">
        <f>13259.99/1000</f>
        <v>13.25999</v>
      </c>
    </row>
    <row r="415" spans="1:10" x14ac:dyDescent="0.25">
      <c r="A415" s="12" t="s">
        <v>13</v>
      </c>
      <c r="B415" s="14" t="s">
        <v>288</v>
      </c>
      <c r="C415" s="12">
        <v>2021</v>
      </c>
      <c r="D415" s="12">
        <v>0.4</v>
      </c>
      <c r="E415" s="13"/>
      <c r="F415" s="12">
        <v>15</v>
      </c>
      <c r="G415" s="11">
        <f>21174.17/1000</f>
        <v>21.174169999999997</v>
      </c>
    </row>
    <row r="416" spans="1:10" x14ac:dyDescent="0.25">
      <c r="A416" s="12" t="s">
        <v>13</v>
      </c>
      <c r="B416" s="14" t="s">
        <v>287</v>
      </c>
      <c r="C416" s="12">
        <v>2021</v>
      </c>
      <c r="D416" s="12">
        <v>0.4</v>
      </c>
      <c r="E416" s="13"/>
      <c r="F416" s="12">
        <v>15</v>
      </c>
      <c r="G416" s="11">
        <f>23277.08/1000</f>
        <v>23.277080000000002</v>
      </c>
    </row>
    <row r="417" spans="1:7" x14ac:dyDescent="0.25">
      <c r="A417" s="12" t="s">
        <v>13</v>
      </c>
      <c r="B417" s="14" t="s">
        <v>286</v>
      </c>
      <c r="C417" s="12">
        <v>2021</v>
      </c>
      <c r="D417" s="12">
        <v>0.4</v>
      </c>
      <c r="E417" s="13"/>
      <c r="F417" s="12">
        <v>15</v>
      </c>
      <c r="G417" s="11">
        <f>23576.66/1000</f>
        <v>23.57666</v>
      </c>
    </row>
    <row r="418" spans="1:7" x14ac:dyDescent="0.25">
      <c r="A418" s="12" t="s">
        <v>5</v>
      </c>
      <c r="B418" s="14" t="s">
        <v>132</v>
      </c>
      <c r="C418" s="12">
        <v>2021</v>
      </c>
      <c r="D418" s="12">
        <v>0.4</v>
      </c>
      <c r="E418" s="13"/>
      <c r="F418" s="12">
        <v>5</v>
      </c>
      <c r="G418" s="11">
        <f>16339.79/1000</f>
        <v>16.339790000000001</v>
      </c>
    </row>
    <row r="419" spans="1:7" x14ac:dyDescent="0.25">
      <c r="A419" s="12" t="s">
        <v>5</v>
      </c>
      <c r="B419" s="14" t="s">
        <v>285</v>
      </c>
      <c r="C419" s="12">
        <v>2021</v>
      </c>
      <c r="D419" s="12">
        <v>0.4</v>
      </c>
      <c r="E419" s="13"/>
      <c r="F419" s="12">
        <v>5</v>
      </c>
      <c r="G419" s="11">
        <f>12942.51/1000</f>
        <v>12.94251</v>
      </c>
    </row>
    <row r="420" spans="1:7" x14ac:dyDescent="0.25">
      <c r="A420" s="12" t="s">
        <v>13</v>
      </c>
      <c r="B420" s="14" t="s">
        <v>284</v>
      </c>
      <c r="C420" s="12">
        <v>2021</v>
      </c>
      <c r="D420" s="12">
        <v>0.4</v>
      </c>
      <c r="E420" s="13"/>
      <c r="F420" s="12">
        <v>15</v>
      </c>
      <c r="G420" s="11">
        <f>19999.58/1000</f>
        <v>19.999580000000002</v>
      </c>
    </row>
    <row r="421" spans="1:7" x14ac:dyDescent="0.25">
      <c r="A421" s="12" t="s">
        <v>13</v>
      </c>
      <c r="B421" s="14" t="s">
        <v>283</v>
      </c>
      <c r="C421" s="12">
        <v>2021</v>
      </c>
      <c r="D421" s="12">
        <v>0.4</v>
      </c>
      <c r="E421" s="13"/>
      <c r="F421" s="12">
        <v>15</v>
      </c>
      <c r="G421" s="11">
        <f>23366.24/1000</f>
        <v>23.366240000000001</v>
      </c>
    </row>
    <row r="422" spans="1:7" x14ac:dyDescent="0.25">
      <c r="A422" s="12" t="s">
        <v>13</v>
      </c>
      <c r="B422" s="14" t="s">
        <v>282</v>
      </c>
      <c r="C422" s="12">
        <v>2021</v>
      </c>
      <c r="D422" s="12">
        <v>0.4</v>
      </c>
      <c r="E422" s="13"/>
      <c r="F422" s="12">
        <v>14</v>
      </c>
      <c r="G422" s="11">
        <f>21400.84/1000</f>
        <v>21.400839999999999</v>
      </c>
    </row>
    <row r="423" spans="1:7" x14ac:dyDescent="0.25">
      <c r="A423" s="12" t="s">
        <v>13</v>
      </c>
      <c r="B423" s="14" t="s">
        <v>281</v>
      </c>
      <c r="C423" s="12">
        <v>2021</v>
      </c>
      <c r="D423" s="12">
        <v>0.4</v>
      </c>
      <c r="E423" s="13"/>
      <c r="F423" s="12">
        <v>15</v>
      </c>
      <c r="G423" s="11">
        <f>21460.83/1000</f>
        <v>21.460830000000001</v>
      </c>
    </row>
    <row r="424" spans="1:7" x14ac:dyDescent="0.25">
      <c r="A424" s="12" t="s">
        <v>13</v>
      </c>
      <c r="B424" s="14" t="s">
        <v>280</v>
      </c>
      <c r="C424" s="12">
        <v>2021</v>
      </c>
      <c r="D424" s="12">
        <v>0.4</v>
      </c>
      <c r="E424" s="13"/>
      <c r="F424" s="12">
        <v>15</v>
      </c>
      <c r="G424" s="11">
        <v>23.460699999999999</v>
      </c>
    </row>
    <row r="425" spans="1:7" x14ac:dyDescent="0.25">
      <c r="A425" s="12" t="s">
        <v>13</v>
      </c>
      <c r="B425" s="14" t="s">
        <v>279</v>
      </c>
      <c r="C425" s="12">
        <v>2021</v>
      </c>
      <c r="D425" s="12">
        <v>0.4</v>
      </c>
      <c r="E425" s="13"/>
      <c r="F425" s="12">
        <v>15</v>
      </c>
      <c r="G425" s="11">
        <v>13.135400000000001</v>
      </c>
    </row>
    <row r="426" spans="1:7" x14ac:dyDescent="0.25">
      <c r="A426" s="12" t="s">
        <v>5</v>
      </c>
      <c r="B426" s="14" t="s">
        <v>278</v>
      </c>
      <c r="C426" s="12">
        <v>2021</v>
      </c>
      <c r="D426" s="12">
        <v>0.4</v>
      </c>
      <c r="E426" s="13"/>
      <c r="F426" s="12">
        <v>5</v>
      </c>
      <c r="G426" s="11">
        <v>7.3806700000000003</v>
      </c>
    </row>
    <row r="427" spans="1:7" x14ac:dyDescent="0.25">
      <c r="A427" s="12" t="s">
        <v>13</v>
      </c>
      <c r="B427" s="14" t="s">
        <v>277</v>
      </c>
      <c r="C427" s="12">
        <v>2021</v>
      </c>
      <c r="D427" s="12">
        <v>0.4</v>
      </c>
      <c r="E427" s="13"/>
      <c r="F427" s="12">
        <v>15</v>
      </c>
      <c r="G427" s="11">
        <v>26.1264</v>
      </c>
    </row>
    <row r="428" spans="1:7" x14ac:dyDescent="0.25">
      <c r="A428" s="12" t="s">
        <v>5</v>
      </c>
      <c r="B428" s="14" t="s">
        <v>276</v>
      </c>
      <c r="C428" s="12">
        <v>2021</v>
      </c>
      <c r="D428" s="12">
        <v>0.4</v>
      </c>
      <c r="E428" s="13"/>
      <c r="F428" s="12">
        <v>10</v>
      </c>
      <c r="G428" s="11">
        <v>13.1447</v>
      </c>
    </row>
    <row r="429" spans="1:7" x14ac:dyDescent="0.25">
      <c r="A429" s="12" t="s">
        <v>5</v>
      </c>
      <c r="B429" s="14" t="s">
        <v>275</v>
      </c>
      <c r="C429" s="12">
        <v>2021</v>
      </c>
      <c r="D429" s="12">
        <v>0.4</v>
      </c>
      <c r="E429" s="13"/>
      <c r="F429" s="12">
        <v>5</v>
      </c>
      <c r="G429" s="11">
        <v>13.1892</v>
      </c>
    </row>
    <row r="430" spans="1:7" x14ac:dyDescent="0.25">
      <c r="A430" s="12" t="s">
        <v>13</v>
      </c>
      <c r="B430" s="14" t="s">
        <v>274</v>
      </c>
      <c r="C430" s="12">
        <v>2021</v>
      </c>
      <c r="D430" s="12">
        <v>0.4</v>
      </c>
      <c r="E430" s="13"/>
      <c r="F430" s="12">
        <v>15</v>
      </c>
      <c r="G430" s="11">
        <v>23.023700000000002</v>
      </c>
    </row>
    <row r="431" spans="1:7" x14ac:dyDescent="0.25">
      <c r="A431" s="12" t="s">
        <v>5</v>
      </c>
      <c r="B431" s="14" t="s">
        <v>273</v>
      </c>
      <c r="C431" s="12">
        <v>2021</v>
      </c>
      <c r="D431" s="12">
        <v>0.4</v>
      </c>
      <c r="E431" s="13"/>
      <c r="F431" s="12">
        <v>5</v>
      </c>
      <c r="G431" s="11">
        <v>13.032500000000001</v>
      </c>
    </row>
    <row r="432" spans="1:7" x14ac:dyDescent="0.25">
      <c r="A432" s="12" t="s">
        <v>13</v>
      </c>
      <c r="B432" s="14" t="s">
        <v>272</v>
      </c>
      <c r="C432" s="12">
        <v>2021</v>
      </c>
      <c r="D432" s="12">
        <v>0.4</v>
      </c>
      <c r="E432" s="13"/>
      <c r="F432" s="12">
        <v>15</v>
      </c>
      <c r="G432" s="11">
        <v>13.0221</v>
      </c>
    </row>
    <row r="433" spans="1:7" x14ac:dyDescent="0.25">
      <c r="A433" s="12" t="s">
        <v>13</v>
      </c>
      <c r="B433" s="14" t="s">
        <v>271</v>
      </c>
      <c r="C433" s="12">
        <v>2021</v>
      </c>
      <c r="D433" s="12">
        <v>0.4</v>
      </c>
      <c r="E433" s="13"/>
      <c r="F433" s="12">
        <v>15</v>
      </c>
      <c r="G433" s="11">
        <v>23.688600000000001</v>
      </c>
    </row>
    <row r="434" spans="1:7" x14ac:dyDescent="0.25">
      <c r="A434" s="12" t="s">
        <v>13</v>
      </c>
      <c r="B434" s="14" t="s">
        <v>270</v>
      </c>
      <c r="C434" s="12">
        <v>2021</v>
      </c>
      <c r="D434" s="12">
        <v>0.4</v>
      </c>
      <c r="E434" s="13"/>
      <c r="F434" s="12">
        <v>15</v>
      </c>
      <c r="G434" s="11">
        <v>23.443300000000001</v>
      </c>
    </row>
    <row r="435" spans="1:7" x14ac:dyDescent="0.25">
      <c r="A435" s="12" t="s">
        <v>5</v>
      </c>
      <c r="B435" s="14" t="s">
        <v>269</v>
      </c>
      <c r="C435" s="12">
        <v>2021</v>
      </c>
      <c r="D435" s="12">
        <v>0.4</v>
      </c>
      <c r="E435" s="13"/>
      <c r="F435" s="12">
        <v>5</v>
      </c>
      <c r="G435" s="11">
        <v>13.2441</v>
      </c>
    </row>
    <row r="436" spans="1:7" x14ac:dyDescent="0.25">
      <c r="A436" s="12" t="s">
        <v>13</v>
      </c>
      <c r="B436" s="14" t="s">
        <v>268</v>
      </c>
      <c r="C436" s="12">
        <v>2021</v>
      </c>
      <c r="D436" s="12">
        <v>0.4</v>
      </c>
      <c r="E436" s="13"/>
      <c r="F436" s="12">
        <v>15</v>
      </c>
      <c r="G436" s="11">
        <v>23.572099999999999</v>
      </c>
    </row>
    <row r="437" spans="1:7" x14ac:dyDescent="0.25">
      <c r="A437" s="12" t="s">
        <v>5</v>
      </c>
      <c r="B437" s="14" t="s">
        <v>267</v>
      </c>
      <c r="C437" s="12">
        <v>2021</v>
      </c>
      <c r="D437" s="12">
        <v>0.4</v>
      </c>
      <c r="E437" s="13"/>
      <c r="F437" s="12">
        <v>5</v>
      </c>
      <c r="G437" s="11">
        <v>13.117900000000001</v>
      </c>
    </row>
    <row r="438" spans="1:7" x14ac:dyDescent="0.25">
      <c r="A438" s="12" t="s">
        <v>13</v>
      </c>
      <c r="B438" s="14" t="s">
        <v>266</v>
      </c>
      <c r="C438" s="12">
        <v>2021</v>
      </c>
      <c r="D438" s="12">
        <v>0.4</v>
      </c>
      <c r="E438" s="13"/>
      <c r="F438" s="12">
        <v>15</v>
      </c>
      <c r="G438" s="11">
        <v>23.227900000000002</v>
      </c>
    </row>
    <row r="439" spans="1:7" x14ac:dyDescent="0.25">
      <c r="A439" s="12" t="s">
        <v>13</v>
      </c>
      <c r="B439" s="14" t="s">
        <v>265</v>
      </c>
      <c r="C439" s="12">
        <v>2021</v>
      </c>
      <c r="D439" s="12">
        <v>0.4</v>
      </c>
      <c r="E439" s="13"/>
      <c r="F439" s="12">
        <v>15</v>
      </c>
      <c r="G439" s="11">
        <v>23.612500000000001</v>
      </c>
    </row>
    <row r="440" spans="1:7" x14ac:dyDescent="0.25">
      <c r="A440" s="12" t="s">
        <v>5</v>
      </c>
      <c r="B440" s="14" t="s">
        <v>264</v>
      </c>
      <c r="C440" s="12">
        <v>2021</v>
      </c>
      <c r="D440" s="12">
        <v>0.4</v>
      </c>
      <c r="E440" s="13"/>
      <c r="F440" s="12">
        <v>7</v>
      </c>
      <c r="G440" s="11">
        <v>13.152900000000001</v>
      </c>
    </row>
    <row r="441" spans="1:7" x14ac:dyDescent="0.25">
      <c r="A441" s="12" t="s">
        <v>13</v>
      </c>
      <c r="B441" s="14" t="s">
        <v>263</v>
      </c>
      <c r="C441" s="12">
        <v>2021</v>
      </c>
      <c r="D441" s="12">
        <v>0.4</v>
      </c>
      <c r="E441" s="13"/>
      <c r="F441" s="12">
        <v>15</v>
      </c>
      <c r="G441" s="11">
        <v>23.3095</v>
      </c>
    </row>
    <row r="442" spans="1:7" x14ac:dyDescent="0.25">
      <c r="A442" s="12" t="s">
        <v>13</v>
      </c>
      <c r="B442" s="14" t="s">
        <v>262</v>
      </c>
      <c r="C442" s="12">
        <v>2021</v>
      </c>
      <c r="D442" s="12">
        <v>0.4</v>
      </c>
      <c r="E442" s="13"/>
      <c r="F442" s="12">
        <v>15</v>
      </c>
      <c r="G442" s="11">
        <v>23.222100000000001</v>
      </c>
    </row>
    <row r="443" spans="1:7" x14ac:dyDescent="0.25">
      <c r="A443" s="12" t="s">
        <v>5</v>
      </c>
      <c r="B443" s="14" t="s">
        <v>261</v>
      </c>
      <c r="C443" s="12">
        <v>2021</v>
      </c>
      <c r="D443" s="12">
        <v>0.4</v>
      </c>
      <c r="E443" s="13"/>
      <c r="F443" s="12">
        <v>5</v>
      </c>
      <c r="G443" s="11">
        <v>13.3332</v>
      </c>
    </row>
    <row r="444" spans="1:7" x14ac:dyDescent="0.25">
      <c r="A444" s="12" t="s">
        <v>13</v>
      </c>
      <c r="B444" s="14" t="s">
        <v>260</v>
      </c>
      <c r="C444" s="12">
        <v>2021</v>
      </c>
      <c r="D444" s="12">
        <v>0.4</v>
      </c>
      <c r="E444" s="13"/>
      <c r="F444" s="12">
        <v>5</v>
      </c>
      <c r="G444" s="11">
        <v>13.171200000000001</v>
      </c>
    </row>
    <row r="445" spans="1:7" x14ac:dyDescent="0.25">
      <c r="A445" s="12" t="s">
        <v>13</v>
      </c>
      <c r="B445" s="14" t="s">
        <v>259</v>
      </c>
      <c r="C445" s="12">
        <v>2021</v>
      </c>
      <c r="D445" s="12">
        <v>0.4</v>
      </c>
      <c r="E445" s="13"/>
      <c r="F445" s="12">
        <v>15</v>
      </c>
      <c r="G445" s="11">
        <v>24.479600000000001</v>
      </c>
    </row>
    <row r="446" spans="1:7" x14ac:dyDescent="0.25">
      <c r="A446" s="12" t="s">
        <v>13</v>
      </c>
      <c r="B446" s="14" t="s">
        <v>258</v>
      </c>
      <c r="C446" s="12">
        <v>2021</v>
      </c>
      <c r="D446" s="12">
        <v>0.4</v>
      </c>
      <c r="E446" s="13"/>
      <c r="F446" s="12">
        <v>15</v>
      </c>
      <c r="G446" s="11">
        <v>23.3095</v>
      </c>
    </row>
    <row r="447" spans="1:7" x14ac:dyDescent="0.25">
      <c r="A447" s="12" t="s">
        <v>13</v>
      </c>
      <c r="B447" s="14" t="s">
        <v>257</v>
      </c>
      <c r="C447" s="12">
        <v>2021</v>
      </c>
      <c r="D447" s="12">
        <v>0.4</v>
      </c>
      <c r="E447" s="13"/>
      <c r="F447" s="12">
        <v>15</v>
      </c>
      <c r="G447" s="11">
        <v>23.6511</v>
      </c>
    </row>
    <row r="448" spans="1:7" x14ac:dyDescent="0.25">
      <c r="A448" s="12" t="s">
        <v>5</v>
      </c>
      <c r="B448" s="14" t="s">
        <v>256</v>
      </c>
      <c r="C448" s="12">
        <v>2021</v>
      </c>
      <c r="D448" s="12">
        <v>0.4</v>
      </c>
      <c r="E448" s="13"/>
      <c r="F448" s="12">
        <v>5</v>
      </c>
      <c r="G448" s="11">
        <v>13.167899999999999</v>
      </c>
    </row>
    <row r="449" spans="1:7" x14ac:dyDescent="0.25">
      <c r="A449" s="12" t="s">
        <v>13</v>
      </c>
      <c r="B449" s="14" t="s">
        <v>255</v>
      </c>
      <c r="C449" s="12">
        <v>2021</v>
      </c>
      <c r="D449" s="12">
        <v>0.4</v>
      </c>
      <c r="E449" s="13"/>
      <c r="F449" s="12">
        <v>15</v>
      </c>
      <c r="G449" s="11">
        <v>13.196199999999999</v>
      </c>
    </row>
    <row r="450" spans="1:7" x14ac:dyDescent="0.25">
      <c r="A450" s="12" t="s">
        <v>13</v>
      </c>
      <c r="B450" s="14" t="s">
        <v>254</v>
      </c>
      <c r="C450" s="12">
        <v>2021</v>
      </c>
      <c r="D450" s="12">
        <v>0.4</v>
      </c>
      <c r="E450" s="13"/>
      <c r="F450" s="12">
        <v>15</v>
      </c>
      <c r="G450" s="11">
        <v>23.367899999999999</v>
      </c>
    </row>
    <row r="451" spans="1:7" x14ac:dyDescent="0.25">
      <c r="A451" s="12" t="s">
        <v>5</v>
      </c>
      <c r="B451" s="14" t="s">
        <v>253</v>
      </c>
      <c r="C451" s="12">
        <v>2021</v>
      </c>
      <c r="D451" s="12">
        <v>0.4</v>
      </c>
      <c r="E451" s="13"/>
      <c r="F451" s="12">
        <v>5</v>
      </c>
      <c r="G451" s="11">
        <v>12.561299999999999</v>
      </c>
    </row>
    <row r="452" spans="1:7" x14ac:dyDescent="0.25">
      <c r="A452" s="12" t="s">
        <v>13</v>
      </c>
      <c r="B452" s="14" t="s">
        <v>252</v>
      </c>
      <c r="C452" s="12">
        <v>2021</v>
      </c>
      <c r="D452" s="12">
        <v>0.4</v>
      </c>
      <c r="E452" s="13"/>
      <c r="F452" s="12">
        <v>15</v>
      </c>
      <c r="G452" s="11">
        <v>22.242899999999999</v>
      </c>
    </row>
    <row r="453" spans="1:7" x14ac:dyDescent="0.25">
      <c r="A453" s="12" t="s">
        <v>13</v>
      </c>
      <c r="B453" s="14" t="s">
        <v>251</v>
      </c>
      <c r="C453" s="12">
        <v>2021</v>
      </c>
      <c r="D453" s="12">
        <v>0.4</v>
      </c>
      <c r="E453" s="13"/>
      <c r="F453" s="12">
        <v>15</v>
      </c>
      <c r="G453" s="11">
        <v>23.5779</v>
      </c>
    </row>
    <row r="454" spans="1:7" x14ac:dyDescent="0.25">
      <c r="A454" s="12" t="s">
        <v>13</v>
      </c>
      <c r="B454" s="14" t="s">
        <v>250</v>
      </c>
      <c r="C454" s="12">
        <v>2021</v>
      </c>
      <c r="D454" s="12">
        <v>0.4</v>
      </c>
      <c r="E454" s="13"/>
      <c r="F454" s="12">
        <v>15</v>
      </c>
      <c r="G454" s="11">
        <v>23.3337</v>
      </c>
    </row>
    <row r="455" spans="1:7" x14ac:dyDescent="0.25">
      <c r="A455" s="12" t="s">
        <v>13</v>
      </c>
      <c r="B455" s="14" t="s">
        <v>249</v>
      </c>
      <c r="C455" s="12">
        <v>2021</v>
      </c>
      <c r="D455" s="12">
        <v>0.4</v>
      </c>
      <c r="E455" s="13"/>
      <c r="F455" s="12">
        <v>15</v>
      </c>
      <c r="G455" s="11">
        <v>23.1663</v>
      </c>
    </row>
    <row r="456" spans="1:7" x14ac:dyDescent="0.25">
      <c r="A456" s="12" t="s">
        <v>13</v>
      </c>
      <c r="B456" s="14" t="s">
        <v>248</v>
      </c>
      <c r="C456" s="12">
        <v>2021</v>
      </c>
      <c r="D456" s="12">
        <v>0.4</v>
      </c>
      <c r="E456" s="13"/>
      <c r="F456" s="12">
        <v>15</v>
      </c>
      <c r="G456" s="11">
        <v>23.3688</v>
      </c>
    </row>
    <row r="457" spans="1:7" x14ac:dyDescent="0.25">
      <c r="A457" s="12" t="s">
        <v>5</v>
      </c>
      <c r="B457" s="14" t="s">
        <v>247</v>
      </c>
      <c r="C457" s="12">
        <v>2021</v>
      </c>
      <c r="D457" s="12">
        <v>0.4</v>
      </c>
      <c r="E457" s="13"/>
      <c r="F457" s="12">
        <v>5</v>
      </c>
      <c r="G457" s="11">
        <v>13.2662</v>
      </c>
    </row>
    <row r="458" spans="1:7" x14ac:dyDescent="0.25">
      <c r="A458" s="12" t="s">
        <v>5</v>
      </c>
      <c r="B458" s="14" t="s">
        <v>246</v>
      </c>
      <c r="C458" s="12">
        <v>2021</v>
      </c>
      <c r="D458" s="12">
        <v>0.4</v>
      </c>
      <c r="E458" s="13"/>
      <c r="F458" s="12">
        <v>5</v>
      </c>
      <c r="G458" s="11">
        <v>12.892099999999999</v>
      </c>
    </row>
    <row r="459" spans="1:7" x14ac:dyDescent="0.25">
      <c r="A459" s="12" t="s">
        <v>13</v>
      </c>
      <c r="B459" s="14" t="s">
        <v>245</v>
      </c>
      <c r="C459" s="12">
        <v>2021</v>
      </c>
      <c r="D459" s="12">
        <v>0.4</v>
      </c>
      <c r="E459" s="13"/>
      <c r="F459" s="12">
        <v>15</v>
      </c>
      <c r="G459" s="11">
        <v>23.404599999999999</v>
      </c>
    </row>
    <row r="460" spans="1:7" x14ac:dyDescent="0.25">
      <c r="A460" s="12" t="s">
        <v>13</v>
      </c>
      <c r="B460" s="14" t="s">
        <v>244</v>
      </c>
      <c r="C460" s="12">
        <v>2021</v>
      </c>
      <c r="D460" s="12">
        <v>0.4</v>
      </c>
      <c r="E460" s="13"/>
      <c r="F460" s="12">
        <v>15</v>
      </c>
      <c r="G460" s="11">
        <v>23.436499999999999</v>
      </c>
    </row>
    <row r="461" spans="1:7" x14ac:dyDescent="0.25">
      <c r="A461" s="12" t="s">
        <v>13</v>
      </c>
      <c r="B461" s="14" t="s">
        <v>243</v>
      </c>
      <c r="C461" s="12">
        <v>2021</v>
      </c>
      <c r="D461" s="12">
        <v>0.4</v>
      </c>
      <c r="E461" s="13"/>
      <c r="F461" s="12">
        <v>15</v>
      </c>
      <c r="G461" s="11">
        <v>23.614599999999999</v>
      </c>
    </row>
    <row r="462" spans="1:7" x14ac:dyDescent="0.25">
      <c r="A462" s="12" t="s">
        <v>13</v>
      </c>
      <c r="B462" s="14" t="s">
        <v>242</v>
      </c>
      <c r="C462" s="12">
        <v>2021</v>
      </c>
      <c r="D462" s="12">
        <v>0.4</v>
      </c>
      <c r="E462" s="13"/>
      <c r="F462" s="12">
        <v>15</v>
      </c>
      <c r="G462" s="11">
        <v>23.116199999999999</v>
      </c>
    </row>
    <row r="463" spans="1:7" x14ac:dyDescent="0.25">
      <c r="A463" s="12" t="s">
        <v>13</v>
      </c>
      <c r="B463" s="14" t="s">
        <v>241</v>
      </c>
      <c r="C463" s="12">
        <v>2021</v>
      </c>
      <c r="D463" s="12">
        <v>0.4</v>
      </c>
      <c r="E463" s="13"/>
      <c r="F463" s="12">
        <v>15</v>
      </c>
      <c r="G463" s="11">
        <v>23.3062</v>
      </c>
    </row>
    <row r="464" spans="1:7" x14ac:dyDescent="0.25">
      <c r="A464" s="12" t="s">
        <v>13</v>
      </c>
      <c r="B464" s="14" t="s">
        <v>240</v>
      </c>
      <c r="C464" s="12">
        <v>2021</v>
      </c>
      <c r="D464" s="12">
        <v>0.4</v>
      </c>
      <c r="E464" s="13"/>
      <c r="F464" s="12">
        <v>15</v>
      </c>
      <c r="G464" s="11">
        <v>23.5779</v>
      </c>
    </row>
    <row r="465" spans="1:7" x14ac:dyDescent="0.25">
      <c r="A465" s="12" t="s">
        <v>5</v>
      </c>
      <c r="B465" s="14" t="s">
        <v>239</v>
      </c>
      <c r="C465" s="12">
        <v>2021</v>
      </c>
      <c r="D465" s="12">
        <v>0.4</v>
      </c>
      <c r="E465" s="13"/>
      <c r="F465" s="12">
        <v>5</v>
      </c>
      <c r="G465" s="11">
        <v>13.402100000000001</v>
      </c>
    </row>
    <row r="466" spans="1:7" x14ac:dyDescent="0.25">
      <c r="A466" s="12" t="s">
        <v>13</v>
      </c>
      <c r="B466" s="14" t="s">
        <v>238</v>
      </c>
      <c r="C466" s="12">
        <v>2021</v>
      </c>
      <c r="D466" s="12">
        <v>0.4</v>
      </c>
      <c r="E466" s="13"/>
      <c r="F466" s="12">
        <v>15</v>
      </c>
      <c r="G466" s="11">
        <v>23.312799999999999</v>
      </c>
    </row>
    <row r="467" spans="1:7" x14ac:dyDescent="0.25">
      <c r="A467" s="12" t="s">
        <v>5</v>
      </c>
      <c r="B467" s="14" t="s">
        <v>237</v>
      </c>
      <c r="C467" s="12">
        <v>2021</v>
      </c>
      <c r="D467" s="12">
        <v>0.4</v>
      </c>
      <c r="E467" s="13"/>
      <c r="F467" s="12">
        <v>5</v>
      </c>
      <c r="G467" s="11">
        <v>13.42</v>
      </c>
    </row>
    <row r="468" spans="1:7" x14ac:dyDescent="0.25">
      <c r="A468" s="12" t="s">
        <v>13</v>
      </c>
      <c r="B468" s="14" t="s">
        <v>236</v>
      </c>
      <c r="C468" s="12">
        <v>2021</v>
      </c>
      <c r="D468" s="12">
        <v>0.4</v>
      </c>
      <c r="E468" s="13"/>
      <c r="F468" s="12">
        <v>15</v>
      </c>
      <c r="G468" s="11">
        <v>23.376300000000001</v>
      </c>
    </row>
    <row r="469" spans="1:7" x14ac:dyDescent="0.25">
      <c r="A469" s="12" t="s">
        <v>13</v>
      </c>
      <c r="B469" s="14" t="s">
        <v>235</v>
      </c>
      <c r="C469" s="12">
        <v>2021</v>
      </c>
      <c r="D469" s="12">
        <v>0.4</v>
      </c>
      <c r="E469" s="13"/>
      <c r="F469" s="12">
        <v>15</v>
      </c>
      <c r="G469" s="11">
        <v>28.134899999999998</v>
      </c>
    </row>
    <row r="470" spans="1:7" x14ac:dyDescent="0.25">
      <c r="A470" s="12" t="s">
        <v>5</v>
      </c>
      <c r="B470" s="14" t="s">
        <v>234</v>
      </c>
      <c r="C470" s="12">
        <v>2021</v>
      </c>
      <c r="D470" s="12">
        <v>0.4</v>
      </c>
      <c r="E470" s="13"/>
      <c r="F470" s="12">
        <v>5</v>
      </c>
      <c r="G470" s="11">
        <v>22.217199999999998</v>
      </c>
    </row>
    <row r="471" spans="1:7" x14ac:dyDescent="0.25">
      <c r="A471" s="12" t="s">
        <v>13</v>
      </c>
      <c r="B471" s="14" t="s">
        <v>233</v>
      </c>
      <c r="C471" s="12">
        <v>2021</v>
      </c>
      <c r="D471" s="12">
        <v>0.4</v>
      </c>
      <c r="E471" s="13"/>
      <c r="F471" s="12">
        <v>15</v>
      </c>
      <c r="G471" s="11">
        <v>22.217199999999998</v>
      </c>
    </row>
    <row r="472" spans="1:7" x14ac:dyDescent="0.25">
      <c r="A472" s="12" t="s">
        <v>13</v>
      </c>
      <c r="B472" s="14" t="s">
        <v>232</v>
      </c>
      <c r="C472" s="12">
        <v>2021</v>
      </c>
      <c r="D472" s="12">
        <v>0.4</v>
      </c>
      <c r="E472" s="13"/>
      <c r="F472" s="12">
        <v>15</v>
      </c>
      <c r="G472" s="11">
        <v>22.135100000000001</v>
      </c>
    </row>
    <row r="473" spans="1:7" x14ac:dyDescent="0.25">
      <c r="A473" s="12" t="s">
        <v>13</v>
      </c>
      <c r="B473" s="14" t="s">
        <v>231</v>
      </c>
      <c r="C473" s="12">
        <v>2021</v>
      </c>
      <c r="D473" s="12">
        <v>0.4</v>
      </c>
      <c r="E473" s="13"/>
      <c r="F473" s="12">
        <v>15</v>
      </c>
      <c r="G473" s="11">
        <v>23.707799999999999</v>
      </c>
    </row>
    <row r="474" spans="1:7" x14ac:dyDescent="0.25">
      <c r="A474" s="12" t="s">
        <v>5</v>
      </c>
      <c r="B474" s="14" t="s">
        <v>230</v>
      </c>
      <c r="C474" s="12">
        <v>2021</v>
      </c>
      <c r="D474" s="12">
        <v>0.4</v>
      </c>
      <c r="E474" s="13"/>
      <c r="F474" s="12">
        <v>5</v>
      </c>
      <c r="G474" s="11">
        <v>13.9811</v>
      </c>
    </row>
    <row r="475" spans="1:7" x14ac:dyDescent="0.25">
      <c r="A475" s="12" t="s">
        <v>13</v>
      </c>
      <c r="B475" s="14" t="s">
        <v>229</v>
      </c>
      <c r="C475" s="12">
        <v>2021</v>
      </c>
      <c r="D475" s="12">
        <v>0.4</v>
      </c>
      <c r="E475" s="13"/>
      <c r="F475" s="12">
        <v>15</v>
      </c>
      <c r="G475" s="11">
        <v>27.853999999999999</v>
      </c>
    </row>
    <row r="476" spans="1:7" x14ac:dyDescent="0.25">
      <c r="A476" s="12" t="s">
        <v>13</v>
      </c>
      <c r="B476" s="14" t="s">
        <v>228</v>
      </c>
      <c r="C476" s="12">
        <v>2021</v>
      </c>
      <c r="D476" s="12">
        <v>0.4</v>
      </c>
      <c r="E476" s="13"/>
      <c r="F476" s="12">
        <v>15</v>
      </c>
      <c r="G476" s="11">
        <v>23.4038</v>
      </c>
    </row>
    <row r="477" spans="1:7" x14ac:dyDescent="0.25">
      <c r="A477" s="12" t="s">
        <v>5</v>
      </c>
      <c r="B477" s="14" t="s">
        <v>227</v>
      </c>
      <c r="C477" s="12">
        <v>2021</v>
      </c>
      <c r="D477" s="12">
        <v>0.4</v>
      </c>
      <c r="E477" s="13"/>
      <c r="F477" s="12">
        <v>5</v>
      </c>
      <c r="G477" s="11">
        <v>14.037100000000001</v>
      </c>
    </row>
    <row r="478" spans="1:7" x14ac:dyDescent="0.25">
      <c r="A478" s="12" t="s">
        <v>13</v>
      </c>
      <c r="B478" s="14" t="s">
        <v>226</v>
      </c>
      <c r="C478" s="12">
        <v>2021</v>
      </c>
      <c r="D478" s="12">
        <v>0.4</v>
      </c>
      <c r="E478" s="13"/>
      <c r="F478" s="12">
        <v>15</v>
      </c>
      <c r="G478" s="11">
        <v>23.362100000000002</v>
      </c>
    </row>
    <row r="479" spans="1:7" x14ac:dyDescent="0.25">
      <c r="A479" s="12" t="s">
        <v>13</v>
      </c>
      <c r="B479" s="14" t="s">
        <v>225</v>
      </c>
      <c r="C479" s="12">
        <v>2021</v>
      </c>
      <c r="D479" s="12">
        <v>0.4</v>
      </c>
      <c r="E479" s="13"/>
      <c r="F479" s="12">
        <v>15</v>
      </c>
      <c r="G479" s="11">
        <v>23.473800000000001</v>
      </c>
    </row>
    <row r="480" spans="1:7" x14ac:dyDescent="0.25">
      <c r="A480" s="12" t="s">
        <v>13</v>
      </c>
      <c r="B480" s="14" t="s">
        <v>224</v>
      </c>
      <c r="C480" s="12">
        <v>2021</v>
      </c>
      <c r="D480" s="12">
        <v>0.4</v>
      </c>
      <c r="E480" s="13"/>
      <c r="F480" s="12">
        <v>15</v>
      </c>
      <c r="G480" s="11">
        <v>23.2362</v>
      </c>
    </row>
    <row r="481" spans="1:7" x14ac:dyDescent="0.25">
      <c r="A481" s="12" t="s">
        <v>5</v>
      </c>
      <c r="B481" s="14" t="s">
        <v>223</v>
      </c>
      <c r="C481" s="12">
        <v>2021</v>
      </c>
      <c r="D481" s="12">
        <v>0.4</v>
      </c>
      <c r="E481" s="13"/>
      <c r="F481" s="12">
        <v>5</v>
      </c>
      <c r="G481" s="11">
        <v>13.7379</v>
      </c>
    </row>
    <row r="482" spans="1:7" x14ac:dyDescent="0.25">
      <c r="A482" s="12" t="s">
        <v>13</v>
      </c>
      <c r="B482" s="14" t="s">
        <v>222</v>
      </c>
      <c r="C482" s="12">
        <v>2021</v>
      </c>
      <c r="D482" s="12">
        <v>0.4</v>
      </c>
      <c r="E482" s="13"/>
      <c r="F482" s="12">
        <v>15</v>
      </c>
      <c r="G482" s="11">
        <v>25.389600000000002</v>
      </c>
    </row>
    <row r="483" spans="1:7" x14ac:dyDescent="0.25">
      <c r="A483" s="12" t="s">
        <v>5</v>
      </c>
      <c r="B483" s="14" t="s">
        <v>221</v>
      </c>
      <c r="C483" s="12">
        <v>2021</v>
      </c>
      <c r="D483" s="12">
        <v>0.4</v>
      </c>
      <c r="E483" s="13"/>
      <c r="F483" s="12">
        <v>5</v>
      </c>
      <c r="G483" s="11">
        <v>13.143800000000001</v>
      </c>
    </row>
    <row r="484" spans="1:7" x14ac:dyDescent="0.25">
      <c r="A484" s="12" t="s">
        <v>13</v>
      </c>
      <c r="B484" s="14" t="s">
        <v>220</v>
      </c>
      <c r="C484" s="12">
        <v>2021</v>
      </c>
      <c r="D484" s="12">
        <v>0.4</v>
      </c>
      <c r="E484" s="13"/>
      <c r="F484" s="12">
        <v>15</v>
      </c>
      <c r="G484" s="11">
        <v>24.7563</v>
      </c>
    </row>
    <row r="485" spans="1:7" x14ac:dyDescent="0.25">
      <c r="A485" s="12" t="s">
        <v>13</v>
      </c>
      <c r="B485" s="14" t="s">
        <v>219</v>
      </c>
      <c r="C485" s="12">
        <v>2021</v>
      </c>
      <c r="D485" s="12">
        <v>0.4</v>
      </c>
      <c r="E485" s="13"/>
      <c r="F485" s="12">
        <v>15</v>
      </c>
      <c r="G485" s="11">
        <v>25.1404</v>
      </c>
    </row>
    <row r="486" spans="1:7" x14ac:dyDescent="0.25">
      <c r="A486" s="12" t="s">
        <v>13</v>
      </c>
      <c r="B486" s="14" t="s">
        <v>218</v>
      </c>
      <c r="C486" s="12">
        <v>2021</v>
      </c>
      <c r="D486" s="12">
        <v>0.4</v>
      </c>
      <c r="E486" s="13"/>
      <c r="F486" s="12">
        <v>15</v>
      </c>
      <c r="G486" s="11">
        <v>23.473700000000001</v>
      </c>
    </row>
    <row r="487" spans="1:7" x14ac:dyDescent="0.25">
      <c r="A487" s="12" t="s">
        <v>13</v>
      </c>
      <c r="B487" s="14" t="s">
        <v>217</v>
      </c>
      <c r="C487" s="12">
        <v>2021</v>
      </c>
      <c r="D487" s="12">
        <v>0.4</v>
      </c>
      <c r="E487" s="13"/>
      <c r="F487" s="12">
        <v>15</v>
      </c>
      <c r="G487" s="11">
        <v>21.6496</v>
      </c>
    </row>
    <row r="488" spans="1:7" x14ac:dyDescent="0.25">
      <c r="A488" s="12" t="s">
        <v>13</v>
      </c>
      <c r="B488" s="14" t="s">
        <v>138</v>
      </c>
      <c r="C488" s="12">
        <v>2021</v>
      </c>
      <c r="D488" s="12">
        <v>0.4</v>
      </c>
      <c r="E488" s="13"/>
      <c r="F488" s="12">
        <v>15</v>
      </c>
      <c r="G488" s="11">
        <v>23.630400000000002</v>
      </c>
    </row>
    <row r="489" spans="1:7" x14ac:dyDescent="0.25">
      <c r="A489" s="12" t="s">
        <v>13</v>
      </c>
      <c r="B489" s="14" t="s">
        <v>216</v>
      </c>
      <c r="C489" s="12">
        <v>2021</v>
      </c>
      <c r="D489" s="12">
        <v>0.4</v>
      </c>
      <c r="E489" s="13"/>
      <c r="F489" s="12">
        <v>15</v>
      </c>
      <c r="G489" s="11">
        <v>24.434200000000001</v>
      </c>
    </row>
    <row r="490" spans="1:7" x14ac:dyDescent="0.25">
      <c r="A490" s="12" t="s">
        <v>13</v>
      </c>
      <c r="B490" s="14" t="s">
        <v>215</v>
      </c>
      <c r="C490" s="12">
        <v>2021</v>
      </c>
      <c r="D490" s="12">
        <v>0.4</v>
      </c>
      <c r="E490" s="13"/>
      <c r="F490" s="12">
        <v>15</v>
      </c>
      <c r="G490" s="11">
        <v>23.121700000000001</v>
      </c>
    </row>
    <row r="491" spans="1:7" x14ac:dyDescent="0.25">
      <c r="A491" s="12" t="s">
        <v>13</v>
      </c>
      <c r="B491" s="14" t="s">
        <v>214</v>
      </c>
      <c r="C491" s="12">
        <v>2021</v>
      </c>
      <c r="D491" s="12">
        <v>0.4</v>
      </c>
      <c r="E491" s="13"/>
      <c r="F491" s="12">
        <v>15</v>
      </c>
      <c r="G491" s="11">
        <v>25.465</v>
      </c>
    </row>
    <row r="492" spans="1:7" x14ac:dyDescent="0.25">
      <c r="A492" s="12" t="s">
        <v>13</v>
      </c>
      <c r="B492" s="14" t="s">
        <v>213</v>
      </c>
      <c r="C492" s="12">
        <v>2021</v>
      </c>
      <c r="D492" s="12">
        <v>0.4</v>
      </c>
      <c r="E492" s="13"/>
      <c r="F492" s="12">
        <v>15</v>
      </c>
      <c r="G492" s="11">
        <v>24.256699999999999</v>
      </c>
    </row>
    <row r="493" spans="1:7" x14ac:dyDescent="0.25">
      <c r="A493" s="12" t="s">
        <v>13</v>
      </c>
      <c r="B493" s="14" t="s">
        <v>212</v>
      </c>
      <c r="C493" s="12">
        <v>2021</v>
      </c>
      <c r="D493" s="12">
        <v>0.4</v>
      </c>
      <c r="E493" s="13"/>
      <c r="F493" s="12">
        <v>15</v>
      </c>
      <c r="G493" s="11">
        <v>24.425000000000001</v>
      </c>
    </row>
    <row r="494" spans="1:7" x14ac:dyDescent="0.25">
      <c r="A494" s="12" t="s">
        <v>13</v>
      </c>
      <c r="B494" s="14" t="s">
        <v>211</v>
      </c>
      <c r="C494" s="12">
        <v>2021</v>
      </c>
      <c r="D494" s="12">
        <v>0.4</v>
      </c>
      <c r="E494" s="13"/>
      <c r="F494" s="12">
        <v>15</v>
      </c>
      <c r="G494" s="11">
        <v>25.333200000000001</v>
      </c>
    </row>
    <row r="495" spans="1:7" x14ac:dyDescent="0.25">
      <c r="A495" s="12" t="s">
        <v>13</v>
      </c>
      <c r="B495" s="14" t="s">
        <v>210</v>
      </c>
      <c r="C495" s="12">
        <v>2021</v>
      </c>
      <c r="D495" s="12">
        <v>0.4</v>
      </c>
      <c r="E495" s="13"/>
      <c r="F495" s="12">
        <v>15</v>
      </c>
      <c r="G495" s="11">
        <v>25.2134</v>
      </c>
    </row>
    <row r="496" spans="1:7" x14ac:dyDescent="0.25">
      <c r="A496" s="12" t="s">
        <v>13</v>
      </c>
      <c r="B496" s="14" t="s">
        <v>209</v>
      </c>
      <c r="C496" s="12">
        <v>2021</v>
      </c>
      <c r="D496" s="12">
        <v>0.4</v>
      </c>
      <c r="E496" s="13"/>
      <c r="F496" s="12">
        <v>15</v>
      </c>
      <c r="G496" s="11">
        <v>25.324999999999999</v>
      </c>
    </row>
    <row r="497" spans="1:7" x14ac:dyDescent="0.25">
      <c r="A497" s="12" t="s">
        <v>5</v>
      </c>
      <c r="B497" s="14" t="s">
        <v>208</v>
      </c>
      <c r="C497" s="12">
        <v>2021</v>
      </c>
      <c r="D497" s="12">
        <v>0.4</v>
      </c>
      <c r="E497" s="13"/>
      <c r="F497" s="12">
        <v>5</v>
      </c>
      <c r="G497" s="11">
        <v>13.985300000000001</v>
      </c>
    </row>
    <row r="498" spans="1:7" x14ac:dyDescent="0.25">
      <c r="A498" s="12" t="s">
        <v>5</v>
      </c>
      <c r="B498" s="14" t="s">
        <v>207</v>
      </c>
      <c r="C498" s="12">
        <v>2021</v>
      </c>
      <c r="D498" s="12">
        <v>0.4</v>
      </c>
      <c r="E498" s="13"/>
      <c r="F498" s="12">
        <v>5</v>
      </c>
      <c r="G498" s="11">
        <v>0.76856999999999998</v>
      </c>
    </row>
    <row r="499" spans="1:7" x14ac:dyDescent="0.25">
      <c r="A499" s="12" t="s">
        <v>5</v>
      </c>
      <c r="B499" s="14" t="s">
        <v>206</v>
      </c>
      <c r="C499" s="12">
        <v>2021</v>
      </c>
      <c r="D499" s="12">
        <v>0.4</v>
      </c>
      <c r="E499" s="13"/>
      <c r="F499" s="12">
        <v>5</v>
      </c>
      <c r="G499" s="11">
        <v>13.0937</v>
      </c>
    </row>
    <row r="500" spans="1:7" x14ac:dyDescent="0.25">
      <c r="A500" s="12" t="s">
        <v>5</v>
      </c>
      <c r="B500" s="14" t="s">
        <v>205</v>
      </c>
      <c r="C500" s="12">
        <v>2021</v>
      </c>
      <c r="D500" s="12">
        <v>0.4</v>
      </c>
      <c r="E500" s="13"/>
      <c r="F500" s="12">
        <v>5</v>
      </c>
      <c r="G500" s="11">
        <v>13.587</v>
      </c>
    </row>
    <row r="501" spans="1:7" x14ac:dyDescent="0.25">
      <c r="A501" s="12" t="s">
        <v>13</v>
      </c>
      <c r="B501" s="14" t="s">
        <v>204</v>
      </c>
      <c r="C501" s="12">
        <v>2021</v>
      </c>
      <c r="D501" s="12">
        <v>0.4</v>
      </c>
      <c r="E501" s="13"/>
      <c r="F501" s="12">
        <v>15</v>
      </c>
      <c r="G501" s="11">
        <v>25.327500000000001</v>
      </c>
    </row>
    <row r="502" spans="1:7" x14ac:dyDescent="0.25">
      <c r="A502" s="12" t="s">
        <v>5</v>
      </c>
      <c r="B502" s="14" t="s">
        <v>203</v>
      </c>
      <c r="C502" s="12">
        <v>2021</v>
      </c>
      <c r="D502" s="12">
        <v>0.4</v>
      </c>
      <c r="E502" s="13"/>
      <c r="F502" s="12">
        <v>5</v>
      </c>
      <c r="G502" s="11">
        <v>14.069699999999999</v>
      </c>
    </row>
    <row r="503" spans="1:7" x14ac:dyDescent="0.25">
      <c r="A503" s="12" t="s">
        <v>5</v>
      </c>
      <c r="B503" s="14" t="s">
        <v>202</v>
      </c>
      <c r="C503" s="12">
        <v>2021</v>
      </c>
      <c r="D503" s="12">
        <v>0.4</v>
      </c>
      <c r="E503" s="13"/>
      <c r="F503" s="12">
        <v>5</v>
      </c>
      <c r="G503" s="11">
        <v>14.3728</v>
      </c>
    </row>
    <row r="504" spans="1:7" x14ac:dyDescent="0.25">
      <c r="A504" s="12" t="s">
        <v>13</v>
      </c>
      <c r="B504" s="14" t="s">
        <v>201</v>
      </c>
      <c r="C504" s="12">
        <v>2021</v>
      </c>
      <c r="D504" s="12">
        <v>0.4</v>
      </c>
      <c r="E504" s="13"/>
      <c r="F504" s="12">
        <v>15</v>
      </c>
      <c r="G504" s="11">
        <v>24.175000000000001</v>
      </c>
    </row>
    <row r="505" spans="1:7" x14ac:dyDescent="0.25">
      <c r="A505" s="12" t="s">
        <v>5</v>
      </c>
      <c r="B505" s="14" t="s">
        <v>200</v>
      </c>
      <c r="C505" s="12">
        <v>2021</v>
      </c>
      <c r="D505" s="12">
        <v>0.4</v>
      </c>
      <c r="E505" s="13"/>
      <c r="F505" s="12">
        <v>5</v>
      </c>
      <c r="G505" s="11">
        <v>13.937200000000001</v>
      </c>
    </row>
    <row r="506" spans="1:7" x14ac:dyDescent="0.25">
      <c r="A506" s="12" t="s">
        <v>13</v>
      </c>
      <c r="B506" s="14" t="s">
        <v>199</v>
      </c>
      <c r="C506" s="12">
        <v>2021</v>
      </c>
      <c r="D506" s="12">
        <v>0.4</v>
      </c>
      <c r="E506" s="13"/>
      <c r="F506" s="12">
        <v>15</v>
      </c>
      <c r="G506" s="11">
        <v>25.383400000000002</v>
      </c>
    </row>
    <row r="507" spans="1:7" x14ac:dyDescent="0.25">
      <c r="A507" s="12" t="s">
        <v>13</v>
      </c>
      <c r="B507" s="14" t="s">
        <v>198</v>
      </c>
      <c r="C507" s="12">
        <v>2021</v>
      </c>
      <c r="D507" s="12">
        <v>0.4</v>
      </c>
      <c r="E507" s="13"/>
      <c r="F507" s="12">
        <v>15</v>
      </c>
      <c r="G507" s="11">
        <v>24.063400000000001</v>
      </c>
    </row>
    <row r="508" spans="1:7" x14ac:dyDescent="0.25">
      <c r="A508" s="12" t="s">
        <v>13</v>
      </c>
      <c r="B508" s="14" t="s">
        <v>197</v>
      </c>
      <c r="C508" s="12">
        <v>2021</v>
      </c>
      <c r="D508" s="12">
        <v>0.4</v>
      </c>
      <c r="E508" s="13"/>
      <c r="F508" s="12">
        <v>15</v>
      </c>
      <c r="G508" s="11">
        <v>25.152899999999999</v>
      </c>
    </row>
    <row r="509" spans="1:7" x14ac:dyDescent="0.25">
      <c r="A509" s="12" t="s">
        <v>13</v>
      </c>
      <c r="B509" s="14" t="s">
        <v>196</v>
      </c>
      <c r="C509" s="12">
        <v>2021</v>
      </c>
      <c r="D509" s="12">
        <v>0.4</v>
      </c>
      <c r="E509" s="13"/>
      <c r="F509" s="12">
        <v>15</v>
      </c>
      <c r="G509" s="11">
        <v>25.2346</v>
      </c>
    </row>
    <row r="510" spans="1:7" x14ac:dyDescent="0.25">
      <c r="A510" s="12" t="s">
        <v>13</v>
      </c>
      <c r="B510" s="14" t="s">
        <v>195</v>
      </c>
      <c r="C510" s="12">
        <v>2021</v>
      </c>
      <c r="D510" s="12">
        <v>0.4</v>
      </c>
      <c r="E510" s="13"/>
      <c r="F510" s="12">
        <v>15</v>
      </c>
      <c r="G510" s="11">
        <v>25.084599999999998</v>
      </c>
    </row>
    <row r="511" spans="1:7" x14ac:dyDescent="0.25">
      <c r="A511" s="12" t="s">
        <v>13</v>
      </c>
      <c r="B511" s="14" t="s">
        <v>194</v>
      </c>
      <c r="C511" s="12">
        <v>2021</v>
      </c>
      <c r="D511" s="12">
        <v>0.4</v>
      </c>
      <c r="E511" s="13"/>
      <c r="F511" s="12">
        <v>15</v>
      </c>
      <c r="G511" s="11">
        <v>25.0563</v>
      </c>
    </row>
    <row r="512" spans="1:7" x14ac:dyDescent="0.25">
      <c r="A512" s="12" t="s">
        <v>13</v>
      </c>
      <c r="B512" s="14" t="s">
        <v>193</v>
      </c>
      <c r="C512" s="12">
        <v>2021</v>
      </c>
      <c r="D512" s="12">
        <v>0.4</v>
      </c>
      <c r="E512" s="13"/>
      <c r="F512" s="12">
        <v>15</v>
      </c>
      <c r="G512" s="11">
        <v>25.379899999999999</v>
      </c>
    </row>
    <row r="513" spans="1:7" x14ac:dyDescent="0.25">
      <c r="A513" s="12" t="s">
        <v>5</v>
      </c>
      <c r="B513" s="14" t="s">
        <v>192</v>
      </c>
      <c r="C513" s="12">
        <v>2021</v>
      </c>
      <c r="D513" s="12">
        <v>0.4</v>
      </c>
      <c r="E513" s="13"/>
      <c r="F513" s="12">
        <v>5</v>
      </c>
      <c r="G513" s="11">
        <v>13.8545</v>
      </c>
    </row>
    <row r="514" spans="1:7" x14ac:dyDescent="0.25">
      <c r="A514" s="12" t="s">
        <v>5</v>
      </c>
      <c r="B514" s="14" t="s">
        <v>191</v>
      </c>
      <c r="C514" s="12">
        <v>2021</v>
      </c>
      <c r="D514" s="12">
        <v>0.4</v>
      </c>
      <c r="E514" s="13"/>
      <c r="F514" s="12">
        <v>5</v>
      </c>
      <c r="G514" s="11">
        <v>13.7403</v>
      </c>
    </row>
    <row r="515" spans="1:7" x14ac:dyDescent="0.25">
      <c r="A515" s="12" t="s">
        <v>5</v>
      </c>
      <c r="B515" s="14" t="s">
        <v>190</v>
      </c>
      <c r="C515" s="12">
        <v>2021</v>
      </c>
      <c r="D515" s="12">
        <v>0.4</v>
      </c>
      <c r="E515" s="13"/>
      <c r="F515" s="12">
        <v>5</v>
      </c>
      <c r="G515" s="11">
        <v>14.1096</v>
      </c>
    </row>
    <row r="516" spans="1:7" x14ac:dyDescent="0.25">
      <c r="A516" s="12" t="s">
        <v>13</v>
      </c>
      <c r="B516" s="14" t="s">
        <v>189</v>
      </c>
      <c r="C516" s="12">
        <v>2021</v>
      </c>
      <c r="D516" s="12">
        <v>0.4</v>
      </c>
      <c r="E516" s="13"/>
      <c r="F516" s="12">
        <v>15</v>
      </c>
      <c r="G516" s="11">
        <v>23.421099999999999</v>
      </c>
    </row>
    <row r="517" spans="1:7" x14ac:dyDescent="0.25">
      <c r="A517" s="12" t="s">
        <v>13</v>
      </c>
      <c r="B517" s="14" t="s">
        <v>188</v>
      </c>
      <c r="C517" s="12">
        <v>2021</v>
      </c>
      <c r="D517" s="12">
        <v>0.4</v>
      </c>
      <c r="E517" s="13"/>
      <c r="F517" s="12">
        <v>15</v>
      </c>
      <c r="G517" s="11">
        <v>28.0259</v>
      </c>
    </row>
    <row r="518" spans="1:7" x14ac:dyDescent="0.25">
      <c r="A518" s="12" t="s">
        <v>5</v>
      </c>
      <c r="B518" s="14" t="s">
        <v>187</v>
      </c>
      <c r="C518" s="12">
        <v>2021</v>
      </c>
      <c r="D518" s="12">
        <v>0.4</v>
      </c>
      <c r="E518" s="13"/>
      <c r="F518" s="12">
        <v>5</v>
      </c>
      <c r="G518" s="11">
        <v>25.332100000000001</v>
      </c>
    </row>
    <row r="519" spans="1:7" x14ac:dyDescent="0.25">
      <c r="A519" s="12" t="s">
        <v>13</v>
      </c>
      <c r="B519" s="14" t="s">
        <v>186</v>
      </c>
      <c r="C519" s="12">
        <v>2021</v>
      </c>
      <c r="D519" s="12">
        <v>0.4</v>
      </c>
      <c r="E519" s="13"/>
      <c r="F519" s="12">
        <v>15</v>
      </c>
      <c r="G519" s="11">
        <v>13.152900000000001</v>
      </c>
    </row>
    <row r="520" spans="1:7" x14ac:dyDescent="0.25">
      <c r="A520" s="12" t="s">
        <v>5</v>
      </c>
      <c r="B520" s="14" t="s">
        <v>185</v>
      </c>
      <c r="C520" s="12">
        <v>2021</v>
      </c>
      <c r="D520" s="12">
        <v>0.4</v>
      </c>
      <c r="E520" s="13"/>
      <c r="F520" s="12">
        <v>5</v>
      </c>
      <c r="G520" s="11">
        <v>22.106200000000001</v>
      </c>
    </row>
    <row r="521" spans="1:7" x14ac:dyDescent="0.25">
      <c r="A521" s="12" t="s">
        <v>5</v>
      </c>
      <c r="B521" s="14" t="s">
        <v>184</v>
      </c>
      <c r="C521" s="12">
        <v>2021</v>
      </c>
      <c r="D521" s="12">
        <v>0.4</v>
      </c>
      <c r="E521" s="13"/>
      <c r="F521" s="12">
        <v>5</v>
      </c>
      <c r="G521" s="11">
        <v>5.88056</v>
      </c>
    </row>
    <row r="522" spans="1:7" x14ac:dyDescent="0.25">
      <c r="A522" s="12" t="s">
        <v>5</v>
      </c>
      <c r="B522" s="14" t="s">
        <v>183</v>
      </c>
      <c r="C522" s="12">
        <v>2021</v>
      </c>
      <c r="D522" s="12">
        <v>0.4</v>
      </c>
      <c r="E522" s="13"/>
      <c r="F522" s="12">
        <v>5</v>
      </c>
      <c r="G522" s="11">
        <v>12.3482</v>
      </c>
    </row>
    <row r="523" spans="1:7" x14ac:dyDescent="0.25">
      <c r="A523" s="12" t="s">
        <v>5</v>
      </c>
      <c r="B523" s="14" t="s">
        <v>182</v>
      </c>
      <c r="C523" s="12">
        <v>2021</v>
      </c>
      <c r="D523" s="12">
        <v>0.4</v>
      </c>
      <c r="E523" s="13"/>
      <c r="F523" s="12">
        <v>5</v>
      </c>
      <c r="G523" s="11">
        <v>13.0899</v>
      </c>
    </row>
    <row r="524" spans="1:7" x14ac:dyDescent="0.25">
      <c r="A524" s="12" t="s">
        <v>5</v>
      </c>
      <c r="B524" s="14" t="s">
        <v>181</v>
      </c>
      <c r="C524" s="12">
        <v>2021</v>
      </c>
      <c r="D524" s="12">
        <v>0.4</v>
      </c>
      <c r="E524" s="13"/>
      <c r="F524" s="12">
        <v>5</v>
      </c>
      <c r="G524" s="11">
        <v>13.2662</v>
      </c>
    </row>
    <row r="525" spans="1:7" x14ac:dyDescent="0.25">
      <c r="A525" s="12" t="s">
        <v>5</v>
      </c>
      <c r="B525" s="14" t="s">
        <v>180</v>
      </c>
      <c r="C525" s="12">
        <v>2021</v>
      </c>
      <c r="D525" s="12">
        <v>0.4</v>
      </c>
      <c r="E525" s="13"/>
      <c r="F525" s="12">
        <v>5</v>
      </c>
      <c r="G525" s="11">
        <v>13.303800000000001</v>
      </c>
    </row>
    <row r="526" spans="1:7" x14ac:dyDescent="0.25">
      <c r="A526" s="12" t="s">
        <v>5</v>
      </c>
      <c r="B526" s="14" t="s">
        <v>179</v>
      </c>
      <c r="C526" s="12">
        <v>2021</v>
      </c>
      <c r="D526" s="12">
        <v>0.4</v>
      </c>
      <c r="E526" s="13"/>
      <c r="F526" s="12">
        <v>5</v>
      </c>
      <c r="G526" s="11">
        <v>13.303699999999999</v>
      </c>
    </row>
    <row r="527" spans="1:7" x14ac:dyDescent="0.25">
      <c r="A527" s="12" t="s">
        <v>5</v>
      </c>
      <c r="B527" s="14" t="s">
        <v>178</v>
      </c>
      <c r="C527" s="12">
        <v>2021</v>
      </c>
      <c r="D527" s="12">
        <v>0.4</v>
      </c>
      <c r="E527" s="13"/>
      <c r="F527" s="12">
        <v>5</v>
      </c>
      <c r="G527" s="11">
        <v>13.303800000000001</v>
      </c>
    </row>
    <row r="528" spans="1:7" x14ac:dyDescent="0.25">
      <c r="A528" s="12" t="s">
        <v>13</v>
      </c>
      <c r="B528" s="14" t="s">
        <v>177</v>
      </c>
      <c r="C528" s="12">
        <v>2021</v>
      </c>
      <c r="D528" s="12">
        <v>0.4</v>
      </c>
      <c r="E528" s="13"/>
      <c r="F528" s="12">
        <v>14</v>
      </c>
      <c r="G528" s="11">
        <v>13.500400000000001</v>
      </c>
    </row>
    <row r="529" spans="1:7" x14ac:dyDescent="0.25">
      <c r="A529" s="12" t="s">
        <v>9</v>
      </c>
      <c r="B529" s="14" t="s">
        <v>176</v>
      </c>
      <c r="C529" s="12">
        <v>2021</v>
      </c>
      <c r="D529" s="12">
        <v>0.4</v>
      </c>
      <c r="E529" s="13"/>
      <c r="F529" s="12">
        <v>58</v>
      </c>
      <c r="G529" s="11">
        <v>23.749199999999998</v>
      </c>
    </row>
    <row r="530" spans="1:7" x14ac:dyDescent="0.25">
      <c r="A530" s="12" t="s">
        <v>9</v>
      </c>
      <c r="B530" s="14" t="s">
        <v>175</v>
      </c>
      <c r="C530" s="12">
        <v>2021</v>
      </c>
      <c r="D530" s="12">
        <v>0.4</v>
      </c>
      <c r="E530" s="13"/>
      <c r="F530" s="12">
        <v>50</v>
      </c>
      <c r="G530" s="11">
        <v>27.657</v>
      </c>
    </row>
    <row r="531" spans="1:7" x14ac:dyDescent="0.25">
      <c r="A531" s="12" t="s">
        <v>9</v>
      </c>
      <c r="B531" s="14" t="s">
        <v>174</v>
      </c>
      <c r="C531" s="12">
        <v>2021</v>
      </c>
      <c r="D531" s="12">
        <v>0.4</v>
      </c>
      <c r="E531" s="13"/>
      <c r="F531" s="12">
        <v>100</v>
      </c>
      <c r="G531" s="11">
        <v>13.1669</v>
      </c>
    </row>
    <row r="532" spans="1:7" x14ac:dyDescent="0.25">
      <c r="A532" s="12" t="s">
        <v>9</v>
      </c>
      <c r="B532" s="14" t="s">
        <v>173</v>
      </c>
      <c r="C532" s="12">
        <v>2021</v>
      </c>
      <c r="D532" s="12">
        <v>0.4</v>
      </c>
      <c r="E532" s="13"/>
      <c r="F532" s="12">
        <v>622</v>
      </c>
      <c r="G532" s="11">
        <v>22.500499999999999</v>
      </c>
    </row>
    <row r="533" spans="1:7" x14ac:dyDescent="0.25">
      <c r="A533" s="12" t="s">
        <v>13</v>
      </c>
      <c r="B533" s="14" t="s">
        <v>172</v>
      </c>
      <c r="C533" s="12">
        <v>2021</v>
      </c>
      <c r="D533" s="12">
        <v>0.4</v>
      </c>
      <c r="E533" s="13"/>
      <c r="F533" s="12">
        <v>10</v>
      </c>
      <c r="G533" s="11">
        <v>102.012</v>
      </c>
    </row>
    <row r="534" spans="1:7" x14ac:dyDescent="0.25">
      <c r="A534" s="12" t="s">
        <v>13</v>
      </c>
      <c r="B534" s="14" t="s">
        <v>171</v>
      </c>
      <c r="C534" s="12">
        <v>2021</v>
      </c>
      <c r="D534" s="12">
        <v>0.4</v>
      </c>
      <c r="E534" s="13"/>
      <c r="F534" s="12">
        <v>30</v>
      </c>
      <c r="G534" s="11">
        <v>23.7788</v>
      </c>
    </row>
    <row r="535" spans="1:7" x14ac:dyDescent="0.25">
      <c r="A535" s="12" t="s">
        <v>13</v>
      </c>
      <c r="B535" s="14" t="s">
        <v>170</v>
      </c>
      <c r="C535" s="12">
        <v>2021</v>
      </c>
      <c r="D535" s="12">
        <v>0.4</v>
      </c>
      <c r="E535" s="13"/>
      <c r="F535" s="12">
        <v>11.5</v>
      </c>
      <c r="G535" s="11">
        <v>25.353400000000001</v>
      </c>
    </row>
    <row r="536" spans="1:7" x14ac:dyDescent="0.25">
      <c r="A536" s="12" t="s">
        <v>5</v>
      </c>
      <c r="B536" s="14" t="s">
        <v>169</v>
      </c>
      <c r="C536" s="12">
        <v>2021</v>
      </c>
      <c r="D536" s="12">
        <v>0.4</v>
      </c>
      <c r="E536" s="13"/>
      <c r="F536" s="12">
        <v>5</v>
      </c>
      <c r="G536" s="11">
        <v>24.154399999999999</v>
      </c>
    </row>
    <row r="537" spans="1:7" x14ac:dyDescent="0.25">
      <c r="A537" s="12" t="s">
        <v>5</v>
      </c>
      <c r="B537" s="14" t="s">
        <v>168</v>
      </c>
      <c r="C537" s="12">
        <v>2021</v>
      </c>
      <c r="D537" s="12">
        <v>0.4</v>
      </c>
      <c r="E537" s="13"/>
      <c r="F537" s="12">
        <v>5</v>
      </c>
      <c r="G537" s="11">
        <v>13.7471</v>
      </c>
    </row>
    <row r="538" spans="1:7" x14ac:dyDescent="0.25">
      <c r="A538" s="12" t="s">
        <v>5</v>
      </c>
      <c r="B538" s="14" t="s">
        <v>167</v>
      </c>
      <c r="C538" s="12">
        <v>2021</v>
      </c>
      <c r="D538" s="12">
        <v>0.4</v>
      </c>
      <c r="E538" s="13"/>
      <c r="F538" s="12">
        <v>5</v>
      </c>
      <c r="G538" s="11">
        <v>13.7121</v>
      </c>
    </row>
    <row r="539" spans="1:7" x14ac:dyDescent="0.25">
      <c r="A539" s="12" t="s">
        <v>5</v>
      </c>
      <c r="B539" s="14" t="s">
        <v>166</v>
      </c>
      <c r="C539" s="12">
        <v>2021</v>
      </c>
      <c r="D539" s="12">
        <v>0.4</v>
      </c>
      <c r="E539" s="13"/>
      <c r="F539" s="12">
        <v>5</v>
      </c>
      <c r="G539" s="11">
        <v>13.7121</v>
      </c>
    </row>
    <row r="540" spans="1:7" x14ac:dyDescent="0.25">
      <c r="A540" s="12" t="s">
        <v>5</v>
      </c>
      <c r="B540" s="14" t="s">
        <v>165</v>
      </c>
      <c r="C540" s="12">
        <v>2021</v>
      </c>
      <c r="D540" s="12">
        <v>0.4</v>
      </c>
      <c r="E540" s="13"/>
      <c r="F540" s="12">
        <v>5</v>
      </c>
      <c r="G540" s="11">
        <v>13.0746</v>
      </c>
    </row>
    <row r="541" spans="1:7" x14ac:dyDescent="0.25">
      <c r="A541" s="12" t="s">
        <v>5</v>
      </c>
      <c r="B541" s="14" t="s">
        <v>164</v>
      </c>
      <c r="C541" s="12">
        <v>2021</v>
      </c>
      <c r="D541" s="12">
        <v>0.4</v>
      </c>
      <c r="E541" s="13"/>
      <c r="F541" s="12">
        <v>5</v>
      </c>
      <c r="G541" s="11">
        <v>13.7121</v>
      </c>
    </row>
    <row r="542" spans="1:7" x14ac:dyDescent="0.25">
      <c r="A542" s="12" t="s">
        <v>5</v>
      </c>
      <c r="B542" s="14" t="s">
        <v>163</v>
      </c>
      <c r="C542" s="12">
        <v>2021</v>
      </c>
      <c r="D542" s="12">
        <v>0.4</v>
      </c>
      <c r="E542" s="13"/>
      <c r="F542" s="12">
        <v>5</v>
      </c>
      <c r="G542" s="11">
        <v>13.019600000000001</v>
      </c>
    </row>
    <row r="543" spans="1:7" x14ac:dyDescent="0.25">
      <c r="A543" s="12" t="s">
        <v>5</v>
      </c>
      <c r="B543" s="14" t="s">
        <v>162</v>
      </c>
      <c r="C543" s="12">
        <v>2021</v>
      </c>
      <c r="D543" s="12">
        <v>0.4</v>
      </c>
      <c r="E543" s="13"/>
      <c r="F543" s="12">
        <v>5</v>
      </c>
      <c r="G543" s="11">
        <v>13.7121</v>
      </c>
    </row>
    <row r="544" spans="1:7" x14ac:dyDescent="0.25">
      <c r="A544" s="12" t="s">
        <v>5</v>
      </c>
      <c r="B544" s="14" t="s">
        <v>161</v>
      </c>
      <c r="C544" s="12">
        <v>2021</v>
      </c>
      <c r="D544" s="12">
        <v>0.4</v>
      </c>
      <c r="E544" s="13"/>
      <c r="F544" s="12">
        <v>5</v>
      </c>
      <c r="G544" s="11">
        <v>13.7471</v>
      </c>
    </row>
    <row r="545" spans="1:7" x14ac:dyDescent="0.25">
      <c r="A545" s="12" t="s">
        <v>5</v>
      </c>
      <c r="B545" s="14" t="s">
        <v>160</v>
      </c>
      <c r="C545" s="12">
        <v>2021</v>
      </c>
      <c r="D545" s="12">
        <v>0.4</v>
      </c>
      <c r="E545" s="13"/>
      <c r="F545" s="12">
        <v>5</v>
      </c>
      <c r="G545" s="11">
        <v>13.7471</v>
      </c>
    </row>
    <row r="546" spans="1:7" x14ac:dyDescent="0.25">
      <c r="A546" s="12" t="s">
        <v>5</v>
      </c>
      <c r="B546" s="14" t="s">
        <v>159</v>
      </c>
      <c r="C546" s="12">
        <v>2021</v>
      </c>
      <c r="D546" s="12">
        <v>0.4</v>
      </c>
      <c r="E546" s="13"/>
      <c r="F546" s="12">
        <v>5</v>
      </c>
      <c r="G546" s="11">
        <v>13.7471</v>
      </c>
    </row>
    <row r="547" spans="1:7" x14ac:dyDescent="0.25">
      <c r="A547" s="12" t="s">
        <v>5</v>
      </c>
      <c r="B547" s="14" t="s">
        <v>158</v>
      </c>
      <c r="C547" s="12">
        <v>2021</v>
      </c>
      <c r="D547" s="12">
        <v>0.4</v>
      </c>
      <c r="E547" s="13"/>
      <c r="F547" s="12">
        <v>5</v>
      </c>
      <c r="G547" s="11">
        <v>13.7471</v>
      </c>
    </row>
    <row r="548" spans="1:7" x14ac:dyDescent="0.25">
      <c r="A548" s="12" t="s">
        <v>5</v>
      </c>
      <c r="B548" s="14" t="s">
        <v>157</v>
      </c>
      <c r="C548" s="12">
        <v>2021</v>
      </c>
      <c r="D548" s="12">
        <v>0.4</v>
      </c>
      <c r="E548" s="13"/>
      <c r="F548" s="12">
        <v>5</v>
      </c>
      <c r="G548" s="11">
        <v>13.7471</v>
      </c>
    </row>
    <row r="549" spans="1:7" x14ac:dyDescent="0.25">
      <c r="A549" s="12" t="s">
        <v>5</v>
      </c>
      <c r="B549" s="14" t="s">
        <v>156</v>
      </c>
      <c r="C549" s="12">
        <v>2021</v>
      </c>
      <c r="D549" s="12">
        <v>0.4</v>
      </c>
      <c r="E549" s="13"/>
      <c r="F549" s="12">
        <v>5</v>
      </c>
      <c r="G549" s="11">
        <v>13.7471</v>
      </c>
    </row>
    <row r="550" spans="1:7" x14ac:dyDescent="0.25">
      <c r="A550" s="12" t="s">
        <v>5</v>
      </c>
      <c r="B550" s="14" t="s">
        <v>155</v>
      </c>
      <c r="C550" s="12">
        <v>2021</v>
      </c>
      <c r="D550" s="12">
        <v>0.4</v>
      </c>
      <c r="E550" s="13"/>
      <c r="F550" s="12">
        <v>5</v>
      </c>
      <c r="G550" s="11">
        <v>13.937200000000001</v>
      </c>
    </row>
    <row r="551" spans="1:7" x14ac:dyDescent="0.25">
      <c r="A551" s="12" t="s">
        <v>5</v>
      </c>
      <c r="B551" s="14" t="s">
        <v>154</v>
      </c>
      <c r="C551" s="12">
        <v>2021</v>
      </c>
      <c r="D551" s="12">
        <v>0.4</v>
      </c>
      <c r="E551" s="13"/>
      <c r="F551" s="12">
        <v>5</v>
      </c>
      <c r="G551" s="11">
        <v>13.679500000000001</v>
      </c>
    </row>
    <row r="552" spans="1:7" x14ac:dyDescent="0.25">
      <c r="A552" s="12" t="s">
        <v>5</v>
      </c>
      <c r="B552" s="14" t="s">
        <v>153</v>
      </c>
      <c r="C552" s="12">
        <v>2021</v>
      </c>
      <c r="D552" s="12">
        <v>0.4</v>
      </c>
      <c r="E552" s="13"/>
      <c r="F552" s="12">
        <v>5</v>
      </c>
      <c r="G552" s="11">
        <v>13.937200000000001</v>
      </c>
    </row>
    <row r="553" spans="1:7" x14ac:dyDescent="0.25">
      <c r="A553" s="12" t="s">
        <v>9</v>
      </c>
      <c r="B553" s="14" t="s">
        <v>152</v>
      </c>
      <c r="C553" s="12">
        <v>2021</v>
      </c>
      <c r="D553" s="12">
        <v>0.4</v>
      </c>
      <c r="E553" s="13"/>
      <c r="F553" s="12">
        <v>60</v>
      </c>
      <c r="G553" s="11">
        <v>13.679500000000001</v>
      </c>
    </row>
    <row r="554" spans="1:7" x14ac:dyDescent="0.25">
      <c r="A554" s="12" t="s">
        <v>13</v>
      </c>
      <c r="B554" s="14" t="s">
        <v>151</v>
      </c>
      <c r="C554" s="12">
        <v>2021</v>
      </c>
      <c r="D554" s="12">
        <v>0.4</v>
      </c>
      <c r="E554" s="13"/>
      <c r="F554" s="12">
        <v>15</v>
      </c>
      <c r="G554" s="11">
        <v>22.517399999999999</v>
      </c>
    </row>
    <row r="555" spans="1:7" x14ac:dyDescent="0.25">
      <c r="A555" s="12" t="s">
        <v>13</v>
      </c>
      <c r="B555" s="14" t="s">
        <v>150</v>
      </c>
      <c r="C555" s="12">
        <v>2021</v>
      </c>
      <c r="D555" s="12">
        <v>0.4</v>
      </c>
      <c r="E555" s="13"/>
      <c r="F555" s="12">
        <v>15</v>
      </c>
      <c r="G555" s="11">
        <v>24.3233</v>
      </c>
    </row>
    <row r="556" spans="1:7" x14ac:dyDescent="0.25">
      <c r="A556" s="12" t="s">
        <v>9</v>
      </c>
      <c r="B556" s="14" t="s">
        <v>149</v>
      </c>
      <c r="C556" s="12">
        <v>2021</v>
      </c>
      <c r="D556" s="12">
        <v>0.4</v>
      </c>
      <c r="E556" s="13"/>
      <c r="F556" s="12">
        <v>80</v>
      </c>
      <c r="G556" s="11">
        <v>25.406700000000001</v>
      </c>
    </row>
    <row r="557" spans="1:7" x14ac:dyDescent="0.25">
      <c r="A557" s="12" t="s">
        <v>9</v>
      </c>
      <c r="B557" s="14" t="s">
        <v>148</v>
      </c>
      <c r="C557" s="12">
        <v>2021</v>
      </c>
      <c r="D557" s="12">
        <v>0.4</v>
      </c>
      <c r="E557" s="13"/>
      <c r="F557" s="12">
        <v>180</v>
      </c>
      <c r="G557" s="11">
        <v>10.907500000000001</v>
      </c>
    </row>
    <row r="558" spans="1:7" x14ac:dyDescent="0.25">
      <c r="A558" s="12" t="s">
        <v>13</v>
      </c>
      <c r="B558" s="14" t="s">
        <v>147</v>
      </c>
      <c r="C558" s="12">
        <v>2021</v>
      </c>
      <c r="D558" s="12">
        <v>0.4</v>
      </c>
      <c r="E558" s="13"/>
      <c r="F558" s="12">
        <v>23</v>
      </c>
      <c r="G558" s="11">
        <v>12.1288</v>
      </c>
    </row>
    <row r="559" spans="1:7" x14ac:dyDescent="0.25">
      <c r="A559" s="12" t="s">
        <v>9</v>
      </c>
      <c r="B559" s="14" t="s">
        <v>146</v>
      </c>
      <c r="C559" s="12">
        <v>2021</v>
      </c>
      <c r="D559" s="12">
        <v>0.4</v>
      </c>
      <c r="E559" s="13"/>
      <c r="F559" s="12">
        <v>60</v>
      </c>
      <c r="G559" s="11">
        <v>26.607500000000002</v>
      </c>
    </row>
    <row r="560" spans="1:7" x14ac:dyDescent="0.25">
      <c r="A560" s="12" t="s">
        <v>13</v>
      </c>
      <c r="B560" s="14" t="s">
        <v>145</v>
      </c>
      <c r="C560" s="12">
        <v>2021</v>
      </c>
      <c r="D560" s="12">
        <v>0.4</v>
      </c>
      <c r="E560" s="13"/>
      <c r="F560" s="12">
        <v>15</v>
      </c>
      <c r="G560" s="11">
        <v>36.880299999999998</v>
      </c>
    </row>
    <row r="561" spans="1:7" x14ac:dyDescent="0.25">
      <c r="A561" s="12" t="s">
        <v>5</v>
      </c>
      <c r="B561" s="14" t="s">
        <v>144</v>
      </c>
      <c r="C561" s="12">
        <v>2021</v>
      </c>
      <c r="D561" s="12">
        <v>0.4</v>
      </c>
      <c r="E561" s="13"/>
      <c r="F561" s="12">
        <v>5</v>
      </c>
      <c r="G561" s="11">
        <v>25.299199999999999</v>
      </c>
    </row>
    <row r="562" spans="1:7" x14ac:dyDescent="0.25">
      <c r="A562" s="12" t="s">
        <v>9</v>
      </c>
      <c r="B562" s="14" t="s">
        <v>143</v>
      </c>
      <c r="C562" s="12">
        <v>2021</v>
      </c>
      <c r="D562" s="12">
        <v>0.4</v>
      </c>
      <c r="E562" s="13"/>
      <c r="F562" s="12">
        <v>70</v>
      </c>
      <c r="G562" s="11">
        <v>27.383400000000002</v>
      </c>
    </row>
    <row r="563" spans="1:7" x14ac:dyDescent="0.25">
      <c r="A563" s="12" t="s">
        <v>5</v>
      </c>
      <c r="B563" s="14" t="s">
        <v>142</v>
      </c>
      <c r="C563" s="12">
        <v>2021</v>
      </c>
      <c r="D563" s="12">
        <v>0.4</v>
      </c>
      <c r="E563" s="13"/>
      <c r="F563" s="12">
        <v>5</v>
      </c>
      <c r="G563" s="11">
        <v>25.774999999999999</v>
      </c>
    </row>
    <row r="564" spans="1:7" x14ac:dyDescent="0.25">
      <c r="A564" s="12" t="s">
        <v>9</v>
      </c>
      <c r="B564" s="14" t="s">
        <v>141</v>
      </c>
      <c r="C564" s="12">
        <v>2021</v>
      </c>
      <c r="D564" s="12">
        <v>0.4</v>
      </c>
      <c r="E564" s="13"/>
      <c r="F564" s="12">
        <v>135</v>
      </c>
      <c r="G564" s="11">
        <v>20.617599999999999</v>
      </c>
    </row>
    <row r="565" spans="1:7" x14ac:dyDescent="0.25">
      <c r="A565" s="12" t="s">
        <v>5</v>
      </c>
      <c r="B565" s="14" t="s">
        <v>140</v>
      </c>
      <c r="C565" s="12">
        <v>2021</v>
      </c>
      <c r="D565" s="12">
        <v>0.4</v>
      </c>
      <c r="E565" s="13"/>
      <c r="F565" s="12">
        <v>5</v>
      </c>
      <c r="G565" s="11">
        <v>9.8651</v>
      </c>
    </row>
    <row r="566" spans="1:7" x14ac:dyDescent="0.25">
      <c r="A566" s="12" t="s">
        <v>13</v>
      </c>
      <c r="B566" s="14" t="s">
        <v>139</v>
      </c>
      <c r="C566" s="12">
        <v>2021</v>
      </c>
      <c r="D566" s="12">
        <v>0.4</v>
      </c>
      <c r="E566" s="13"/>
      <c r="F566" s="12">
        <v>15</v>
      </c>
      <c r="G566" s="11">
        <v>12.891999999999999</v>
      </c>
    </row>
    <row r="567" spans="1:7" x14ac:dyDescent="0.25">
      <c r="A567" s="12" t="s">
        <v>13</v>
      </c>
      <c r="B567" s="14" t="s">
        <v>138</v>
      </c>
      <c r="C567" s="12">
        <v>2021</v>
      </c>
      <c r="D567" s="12">
        <v>0.4</v>
      </c>
      <c r="E567" s="13"/>
      <c r="F567" s="12">
        <v>45</v>
      </c>
      <c r="G567" s="11">
        <v>23.2638</v>
      </c>
    </row>
    <row r="568" spans="1:7" x14ac:dyDescent="0.25">
      <c r="A568" s="12" t="s">
        <v>13</v>
      </c>
      <c r="B568" s="14" t="s">
        <v>137</v>
      </c>
      <c r="C568" s="12">
        <v>2021</v>
      </c>
      <c r="D568" s="12">
        <v>0.4</v>
      </c>
      <c r="E568" s="13"/>
      <c r="F568" s="12">
        <v>28</v>
      </c>
      <c r="G568" s="11">
        <v>24.904599999999999</v>
      </c>
    </row>
    <row r="569" spans="1:7" x14ac:dyDescent="0.25">
      <c r="A569" s="12" t="s">
        <v>5</v>
      </c>
      <c r="B569" s="14" t="s">
        <v>136</v>
      </c>
      <c r="C569" s="12">
        <v>2021</v>
      </c>
      <c r="D569" s="12">
        <v>0.4</v>
      </c>
      <c r="E569" s="13"/>
      <c r="F569" s="12">
        <v>5</v>
      </c>
      <c r="G569" s="11">
        <v>25.818000000000001</v>
      </c>
    </row>
    <row r="570" spans="1:7" x14ac:dyDescent="0.25">
      <c r="A570" s="12" t="s">
        <v>5</v>
      </c>
      <c r="B570" s="14" t="s">
        <v>135</v>
      </c>
      <c r="C570" s="12">
        <v>2021</v>
      </c>
      <c r="D570" s="12">
        <v>0.4</v>
      </c>
      <c r="E570" s="13"/>
      <c r="F570" s="12">
        <v>5</v>
      </c>
      <c r="G570" s="11">
        <v>14.3315</v>
      </c>
    </row>
    <row r="571" spans="1:7" x14ac:dyDescent="0.25">
      <c r="A571" s="12" t="s">
        <v>13</v>
      </c>
      <c r="B571" s="14" t="s">
        <v>134</v>
      </c>
      <c r="C571" s="12">
        <v>2021</v>
      </c>
      <c r="D571" s="12">
        <v>0.4</v>
      </c>
      <c r="E571" s="13"/>
      <c r="F571" s="12">
        <v>44.5</v>
      </c>
      <c r="G571" s="11">
        <v>13.7029</v>
      </c>
    </row>
    <row r="572" spans="1:7" x14ac:dyDescent="0.25">
      <c r="A572" s="12" t="s">
        <v>13</v>
      </c>
      <c r="B572" s="14" t="s">
        <v>133</v>
      </c>
      <c r="C572" s="12">
        <v>2021</v>
      </c>
      <c r="D572" s="12">
        <v>0.4</v>
      </c>
      <c r="E572" s="13"/>
      <c r="F572" s="12">
        <v>15</v>
      </c>
      <c r="G572" s="11">
        <v>35.235700000000001</v>
      </c>
    </row>
    <row r="573" spans="1:7" x14ac:dyDescent="0.25">
      <c r="A573" s="12" t="s">
        <v>5</v>
      </c>
      <c r="B573" s="14" t="s">
        <v>132</v>
      </c>
      <c r="C573" s="12">
        <v>2021</v>
      </c>
      <c r="D573" s="12">
        <v>0.4</v>
      </c>
      <c r="E573" s="13"/>
      <c r="F573" s="12">
        <v>5</v>
      </c>
      <c r="G573" s="11">
        <v>25.629100000000001</v>
      </c>
    </row>
    <row r="574" spans="1:7" x14ac:dyDescent="0.25">
      <c r="A574" s="12" t="s">
        <v>5</v>
      </c>
      <c r="B574" s="14" t="s">
        <v>131</v>
      </c>
      <c r="C574" s="12">
        <v>2021</v>
      </c>
      <c r="D574" s="12">
        <v>0.4</v>
      </c>
      <c r="E574" s="13"/>
      <c r="F574" s="12">
        <v>5</v>
      </c>
      <c r="G574" s="11">
        <v>13.009600000000001</v>
      </c>
    </row>
    <row r="575" spans="1:7" x14ac:dyDescent="0.25">
      <c r="A575" s="12" t="s">
        <v>13</v>
      </c>
      <c r="B575" s="14" t="s">
        <v>130</v>
      </c>
      <c r="C575" s="12">
        <v>2021</v>
      </c>
      <c r="D575" s="12">
        <v>0.4</v>
      </c>
      <c r="E575" s="13"/>
      <c r="F575" s="12">
        <v>30</v>
      </c>
      <c r="G575" s="11">
        <v>13.8187</v>
      </c>
    </row>
    <row r="576" spans="1:7" x14ac:dyDescent="0.25">
      <c r="A576" s="12" t="s">
        <v>13</v>
      </c>
      <c r="B576" s="14" t="s">
        <v>129</v>
      </c>
      <c r="C576" s="12">
        <v>2021</v>
      </c>
      <c r="D576" s="12">
        <v>0.4</v>
      </c>
      <c r="E576" s="13"/>
      <c r="F576" s="12">
        <v>30</v>
      </c>
      <c r="G576" s="11">
        <v>51.136400000000002</v>
      </c>
    </row>
    <row r="577" spans="1:8" x14ac:dyDescent="0.25">
      <c r="A577" s="12" t="s">
        <v>5</v>
      </c>
      <c r="B577" s="14" t="s">
        <v>128</v>
      </c>
      <c r="C577" s="12">
        <v>2021</v>
      </c>
      <c r="D577" s="12">
        <v>0.4</v>
      </c>
      <c r="E577" s="13"/>
      <c r="F577" s="12">
        <v>5</v>
      </c>
      <c r="G577" s="11">
        <v>35.314999999999998</v>
      </c>
    </row>
    <row r="578" spans="1:8" x14ac:dyDescent="0.25">
      <c r="A578" s="12" t="s">
        <v>13</v>
      </c>
      <c r="B578" s="14" t="s">
        <v>127</v>
      </c>
      <c r="C578" s="12">
        <v>2021</v>
      </c>
      <c r="D578" s="12">
        <v>0.4</v>
      </c>
      <c r="E578" s="13"/>
      <c r="F578" s="12">
        <v>15</v>
      </c>
      <c r="G578" s="11">
        <v>13.043100000000001</v>
      </c>
    </row>
    <row r="579" spans="1:8" x14ac:dyDescent="0.25">
      <c r="A579" s="12" t="s">
        <v>13</v>
      </c>
      <c r="B579" s="14" t="s">
        <v>126</v>
      </c>
      <c r="C579" s="12">
        <v>2021</v>
      </c>
      <c r="D579" s="12">
        <v>0.4</v>
      </c>
      <c r="E579" s="13"/>
      <c r="F579" s="12">
        <v>15</v>
      </c>
      <c r="G579" s="11">
        <v>23.331199999999999</v>
      </c>
    </row>
    <row r="580" spans="1:8" x14ac:dyDescent="0.25">
      <c r="A580" s="12" t="s">
        <v>5</v>
      </c>
      <c r="B580" s="14" t="s">
        <v>125</v>
      </c>
      <c r="C580" s="12">
        <v>2021</v>
      </c>
      <c r="D580" s="12">
        <v>0.4</v>
      </c>
      <c r="E580" s="13"/>
      <c r="F580" s="12">
        <v>5</v>
      </c>
      <c r="G580" s="11">
        <v>19.840399999999999</v>
      </c>
    </row>
    <row r="581" spans="1:8" x14ac:dyDescent="0.25">
      <c r="A581" s="12" t="s">
        <v>13</v>
      </c>
      <c r="B581" s="14" t="s">
        <v>124</v>
      </c>
      <c r="C581" s="12">
        <v>2021</v>
      </c>
      <c r="D581" s="12">
        <v>0.4</v>
      </c>
      <c r="E581" s="13"/>
      <c r="F581" s="12">
        <v>15</v>
      </c>
      <c r="G581" s="11">
        <v>13.0558</v>
      </c>
    </row>
    <row r="582" spans="1:8" x14ac:dyDescent="0.25">
      <c r="A582" s="12" t="s">
        <v>13</v>
      </c>
      <c r="B582" s="14" t="s">
        <v>123</v>
      </c>
      <c r="C582" s="12">
        <v>2021</v>
      </c>
      <c r="D582" s="12">
        <v>0.4</v>
      </c>
      <c r="E582" s="13"/>
      <c r="F582" s="12">
        <v>15</v>
      </c>
      <c r="G582" s="11">
        <v>22.046299999999999</v>
      </c>
    </row>
    <row r="583" spans="1:8" x14ac:dyDescent="0.25">
      <c r="A583" s="105" t="s">
        <v>13</v>
      </c>
      <c r="B583" s="94" t="s">
        <v>122</v>
      </c>
      <c r="C583" s="118">
        <v>2022</v>
      </c>
      <c r="D583" s="96">
        <v>0.4</v>
      </c>
      <c r="E583" s="96"/>
      <c r="F583" s="97">
        <v>15</v>
      </c>
      <c r="G583" s="106">
        <v>8.5298999999999996</v>
      </c>
      <c r="H583" s="147"/>
    </row>
    <row r="584" spans="1:8" x14ac:dyDescent="0.25">
      <c r="A584" s="105" t="s">
        <v>13</v>
      </c>
      <c r="B584" s="94" t="s">
        <v>121</v>
      </c>
      <c r="C584" s="95">
        <v>2022</v>
      </c>
      <c r="D584" s="96">
        <v>0.4</v>
      </c>
      <c r="E584" s="96"/>
      <c r="F584" s="97">
        <v>15</v>
      </c>
      <c r="G584" s="106">
        <v>25.28098</v>
      </c>
      <c r="H584" s="147"/>
    </row>
    <row r="585" spans="1:8" x14ac:dyDescent="0.25">
      <c r="A585" s="105" t="s">
        <v>13</v>
      </c>
      <c r="B585" s="94" t="s">
        <v>399</v>
      </c>
      <c r="C585" s="95">
        <v>2022</v>
      </c>
      <c r="D585" s="96">
        <v>0.4</v>
      </c>
      <c r="E585" s="96"/>
      <c r="F585" s="99">
        <v>10</v>
      </c>
      <c r="G585" s="107">
        <v>0</v>
      </c>
      <c r="H585" s="147"/>
    </row>
    <row r="586" spans="1:8" x14ac:dyDescent="0.25">
      <c r="A586" s="105" t="s">
        <v>13</v>
      </c>
      <c r="B586" s="94" t="s">
        <v>120</v>
      </c>
      <c r="C586" s="95">
        <v>2022</v>
      </c>
      <c r="D586" s="96">
        <v>0.4</v>
      </c>
      <c r="E586" s="96"/>
      <c r="F586" s="97">
        <v>15</v>
      </c>
      <c r="G586" s="108">
        <v>27.48939</v>
      </c>
      <c r="H586" s="147"/>
    </row>
    <row r="587" spans="1:8" x14ac:dyDescent="0.25">
      <c r="A587" s="105" t="s">
        <v>5</v>
      </c>
      <c r="B587" s="94" t="s">
        <v>684</v>
      </c>
      <c r="C587" s="95">
        <v>2022</v>
      </c>
      <c r="D587" s="96">
        <v>0.4</v>
      </c>
      <c r="E587" s="96"/>
      <c r="F587" s="97">
        <v>3</v>
      </c>
      <c r="G587" s="109">
        <v>13.676449999999999</v>
      </c>
      <c r="H587" s="147"/>
    </row>
    <row r="588" spans="1:8" x14ac:dyDescent="0.25">
      <c r="A588" s="105" t="s">
        <v>5</v>
      </c>
      <c r="B588" s="94" t="s">
        <v>684</v>
      </c>
      <c r="C588" s="95">
        <v>2022</v>
      </c>
      <c r="D588" s="96">
        <v>0.4</v>
      </c>
      <c r="E588" s="96"/>
      <c r="F588" s="97">
        <v>3</v>
      </c>
      <c r="G588" s="109">
        <v>13.676449999999999</v>
      </c>
      <c r="H588" s="147"/>
    </row>
    <row r="589" spans="1:8" x14ac:dyDescent="0.25">
      <c r="A589" s="105" t="s">
        <v>5</v>
      </c>
      <c r="B589" s="94" t="s">
        <v>684</v>
      </c>
      <c r="C589" s="95">
        <v>2022</v>
      </c>
      <c r="D589" s="96">
        <v>0.4</v>
      </c>
      <c r="E589" s="96"/>
      <c r="F589" s="97">
        <v>3</v>
      </c>
      <c r="G589" s="109">
        <v>13.676449999999999</v>
      </c>
      <c r="H589" s="147"/>
    </row>
    <row r="590" spans="1:8" x14ac:dyDescent="0.25">
      <c r="A590" s="105" t="s">
        <v>5</v>
      </c>
      <c r="B590" s="94" t="s">
        <v>396</v>
      </c>
      <c r="C590" s="95">
        <v>2022</v>
      </c>
      <c r="D590" s="96">
        <v>0.4</v>
      </c>
      <c r="E590" s="96"/>
      <c r="F590" s="97">
        <v>5</v>
      </c>
      <c r="G590" s="98">
        <v>8.6006599999999995</v>
      </c>
      <c r="H590" s="147"/>
    </row>
    <row r="591" spans="1:8" x14ac:dyDescent="0.25">
      <c r="A591" s="105" t="s">
        <v>13</v>
      </c>
      <c r="B591" s="94" t="s">
        <v>571</v>
      </c>
      <c r="C591" s="95">
        <v>2022</v>
      </c>
      <c r="D591" s="96">
        <v>0.4</v>
      </c>
      <c r="E591" s="96"/>
      <c r="F591" s="97">
        <v>15</v>
      </c>
      <c r="G591" s="106">
        <v>23.731759999999998</v>
      </c>
      <c r="H591" s="147"/>
    </row>
    <row r="592" spans="1:8" x14ac:dyDescent="0.25">
      <c r="A592" s="105" t="s">
        <v>13</v>
      </c>
      <c r="B592" s="94" t="s">
        <v>395</v>
      </c>
      <c r="C592" s="95">
        <v>2022</v>
      </c>
      <c r="D592" s="96">
        <v>0.4</v>
      </c>
      <c r="E592" s="96"/>
      <c r="F592" s="97">
        <v>15</v>
      </c>
      <c r="G592" s="106">
        <v>25.422840000000001</v>
      </c>
      <c r="H592" s="147"/>
    </row>
    <row r="593" spans="1:8" x14ac:dyDescent="0.25">
      <c r="A593" s="105" t="s">
        <v>13</v>
      </c>
      <c r="B593" s="94" t="s">
        <v>395</v>
      </c>
      <c r="C593" s="95">
        <v>2022</v>
      </c>
      <c r="D593" s="96">
        <v>0.4</v>
      </c>
      <c r="E593" s="96"/>
      <c r="F593" s="97">
        <v>15</v>
      </c>
      <c r="G593" s="106">
        <v>25.422840000000001</v>
      </c>
      <c r="H593" s="147"/>
    </row>
    <row r="594" spans="1:8" x14ac:dyDescent="0.25">
      <c r="A594" s="105" t="s">
        <v>5</v>
      </c>
      <c r="B594" s="94" t="s">
        <v>119</v>
      </c>
      <c r="C594" s="95">
        <v>2022</v>
      </c>
      <c r="D594" s="96">
        <v>0.4</v>
      </c>
      <c r="E594" s="96"/>
      <c r="F594" s="97">
        <v>5</v>
      </c>
      <c r="G594" s="98">
        <v>12.016950000000001</v>
      </c>
      <c r="H594" s="147"/>
    </row>
    <row r="595" spans="1:8" x14ac:dyDescent="0.25">
      <c r="A595" s="105" t="s">
        <v>5</v>
      </c>
      <c r="B595" s="94" t="s">
        <v>119</v>
      </c>
      <c r="C595" s="95">
        <v>2022</v>
      </c>
      <c r="D595" s="96">
        <v>0.4</v>
      </c>
      <c r="E595" s="96"/>
      <c r="F595" s="97">
        <v>5</v>
      </c>
      <c r="G595" s="98">
        <v>11.26427</v>
      </c>
      <c r="H595" s="147"/>
    </row>
    <row r="596" spans="1:8" x14ac:dyDescent="0.25">
      <c r="A596" s="105" t="s">
        <v>5</v>
      </c>
      <c r="B596" s="94" t="s">
        <v>118</v>
      </c>
      <c r="C596" s="95">
        <v>2022</v>
      </c>
      <c r="D596" s="96">
        <v>0.4</v>
      </c>
      <c r="E596" s="96"/>
      <c r="F596" s="97">
        <v>5</v>
      </c>
      <c r="G596" s="98">
        <v>12.01445</v>
      </c>
      <c r="H596" s="147"/>
    </row>
    <row r="597" spans="1:8" x14ac:dyDescent="0.25">
      <c r="A597" s="105" t="s">
        <v>5</v>
      </c>
      <c r="B597" s="94" t="s">
        <v>117</v>
      </c>
      <c r="C597" s="95">
        <v>2022</v>
      </c>
      <c r="D597" s="96">
        <v>0.4</v>
      </c>
      <c r="E597" s="96"/>
      <c r="F597" s="97">
        <v>5</v>
      </c>
      <c r="G597" s="98">
        <v>12.01445</v>
      </c>
      <c r="H597" s="147"/>
    </row>
    <row r="598" spans="1:8" x14ac:dyDescent="0.25">
      <c r="A598" s="105" t="s">
        <v>5</v>
      </c>
      <c r="B598" s="94" t="s">
        <v>393</v>
      </c>
      <c r="C598" s="95">
        <v>2022</v>
      </c>
      <c r="D598" s="96">
        <v>0.4</v>
      </c>
      <c r="E598" s="96"/>
      <c r="F598" s="97">
        <v>2</v>
      </c>
      <c r="G598" s="98">
        <v>12.01445</v>
      </c>
      <c r="H598" s="147"/>
    </row>
    <row r="599" spans="1:8" x14ac:dyDescent="0.25">
      <c r="A599" s="105" t="s">
        <v>13</v>
      </c>
      <c r="B599" s="94" t="s">
        <v>116</v>
      </c>
      <c r="C599" s="95">
        <v>2022</v>
      </c>
      <c r="D599" s="96">
        <v>0.4</v>
      </c>
      <c r="E599" s="96"/>
      <c r="F599" s="97">
        <v>15</v>
      </c>
      <c r="G599" s="106">
        <v>28.521450000000002</v>
      </c>
      <c r="H599" s="147"/>
    </row>
    <row r="600" spans="1:8" x14ac:dyDescent="0.25">
      <c r="A600" s="105" t="s">
        <v>5</v>
      </c>
      <c r="B600" s="94" t="s">
        <v>391</v>
      </c>
      <c r="C600" s="95">
        <v>2022</v>
      </c>
      <c r="D600" s="96">
        <v>0.4</v>
      </c>
      <c r="E600" s="96"/>
      <c r="F600" s="97">
        <v>5</v>
      </c>
      <c r="G600" s="101">
        <v>29.522740000000002</v>
      </c>
      <c r="H600" s="147"/>
    </row>
    <row r="601" spans="1:8" x14ac:dyDescent="0.25">
      <c r="A601" s="105" t="s">
        <v>13</v>
      </c>
      <c r="B601" s="94" t="s">
        <v>570</v>
      </c>
      <c r="C601" s="95">
        <v>2022</v>
      </c>
      <c r="D601" s="96">
        <v>0.4</v>
      </c>
      <c r="E601" s="96"/>
      <c r="F601" s="97">
        <v>15</v>
      </c>
      <c r="G601" s="106">
        <v>23.396235000000001</v>
      </c>
      <c r="H601" s="147"/>
    </row>
    <row r="602" spans="1:8" x14ac:dyDescent="0.25">
      <c r="A602" s="105" t="s">
        <v>13</v>
      </c>
      <c r="B602" s="94" t="s">
        <v>115</v>
      </c>
      <c r="C602" s="95">
        <v>2022</v>
      </c>
      <c r="D602" s="96">
        <v>0.4</v>
      </c>
      <c r="E602" s="96"/>
      <c r="F602" s="97">
        <v>15</v>
      </c>
      <c r="G602" s="106">
        <v>23.396235000000001</v>
      </c>
      <c r="H602" s="147"/>
    </row>
    <row r="603" spans="1:8" x14ac:dyDescent="0.25">
      <c r="A603" s="105" t="s">
        <v>13</v>
      </c>
      <c r="B603" s="94" t="s">
        <v>114</v>
      </c>
      <c r="C603" s="95">
        <v>2022</v>
      </c>
      <c r="D603" s="96">
        <v>0.4</v>
      </c>
      <c r="E603" s="96"/>
      <c r="F603" s="97">
        <v>15</v>
      </c>
      <c r="G603" s="106">
        <v>25.19406</v>
      </c>
      <c r="H603" s="147"/>
    </row>
    <row r="604" spans="1:8" x14ac:dyDescent="0.25">
      <c r="A604" s="105" t="s">
        <v>13</v>
      </c>
      <c r="B604" s="94" t="s">
        <v>113</v>
      </c>
      <c r="C604" s="95">
        <v>2022</v>
      </c>
      <c r="D604" s="96">
        <v>0.4</v>
      </c>
      <c r="E604" s="96"/>
      <c r="F604" s="97">
        <v>15</v>
      </c>
      <c r="G604" s="106">
        <v>26.988</v>
      </c>
      <c r="H604" s="147"/>
    </row>
    <row r="605" spans="1:8" x14ac:dyDescent="0.25">
      <c r="A605" s="105" t="s">
        <v>13</v>
      </c>
      <c r="B605" s="94" t="s">
        <v>112</v>
      </c>
      <c r="C605" s="95">
        <v>2022</v>
      </c>
      <c r="D605" s="96">
        <v>0.4</v>
      </c>
      <c r="E605" s="96"/>
      <c r="F605" s="97">
        <v>15</v>
      </c>
      <c r="G605" s="106">
        <v>25.33764</v>
      </c>
      <c r="H605" s="147"/>
    </row>
    <row r="606" spans="1:8" x14ac:dyDescent="0.25">
      <c r="A606" s="105" t="s">
        <v>13</v>
      </c>
      <c r="B606" s="94" t="s">
        <v>569</v>
      </c>
      <c r="C606" s="95">
        <v>2022</v>
      </c>
      <c r="D606" s="96">
        <v>0.4</v>
      </c>
      <c r="E606" s="96"/>
      <c r="F606" s="97">
        <v>15</v>
      </c>
      <c r="G606" s="106">
        <v>30.170950000000001</v>
      </c>
      <c r="H606" s="147"/>
    </row>
    <row r="607" spans="1:8" x14ac:dyDescent="0.25">
      <c r="A607" s="105" t="s">
        <v>13</v>
      </c>
      <c r="B607" s="94" t="s">
        <v>569</v>
      </c>
      <c r="C607" s="95">
        <v>2022</v>
      </c>
      <c r="D607" s="96">
        <v>0.4</v>
      </c>
      <c r="E607" s="96"/>
      <c r="F607" s="97">
        <v>15</v>
      </c>
      <c r="G607" s="106">
        <v>30.170950000000001</v>
      </c>
      <c r="H607" s="147"/>
    </row>
    <row r="608" spans="1:8" x14ac:dyDescent="0.25">
      <c r="A608" s="105" t="s">
        <v>13</v>
      </c>
      <c r="B608" s="94" t="s">
        <v>111</v>
      </c>
      <c r="C608" s="95">
        <v>2022</v>
      </c>
      <c r="D608" s="96">
        <v>0.4</v>
      </c>
      <c r="E608" s="96"/>
      <c r="F608" s="97">
        <v>15</v>
      </c>
      <c r="G608" s="106">
        <v>25.28098</v>
      </c>
      <c r="H608" s="147"/>
    </row>
    <row r="609" spans="1:8" x14ac:dyDescent="0.25">
      <c r="A609" s="105" t="s">
        <v>13</v>
      </c>
      <c r="B609" s="94" t="s">
        <v>110</v>
      </c>
      <c r="C609" s="95">
        <v>2022</v>
      </c>
      <c r="D609" s="96">
        <v>0.4</v>
      </c>
      <c r="E609" s="96"/>
      <c r="F609" s="97">
        <v>15</v>
      </c>
      <c r="G609" s="106">
        <v>26.770820000000001</v>
      </c>
      <c r="H609" s="147"/>
    </row>
    <row r="610" spans="1:8" x14ac:dyDescent="0.25">
      <c r="A610" s="105" t="s">
        <v>13</v>
      </c>
      <c r="B610" s="94" t="s">
        <v>109</v>
      </c>
      <c r="C610" s="95">
        <v>2022</v>
      </c>
      <c r="D610" s="96">
        <v>0.4</v>
      </c>
      <c r="E610" s="96"/>
      <c r="F610" s="97">
        <v>15</v>
      </c>
      <c r="G610" s="106">
        <v>24.61083</v>
      </c>
      <c r="H610" s="147"/>
    </row>
    <row r="611" spans="1:8" x14ac:dyDescent="0.25">
      <c r="A611" s="105" t="s">
        <v>5</v>
      </c>
      <c r="B611" s="94" t="s">
        <v>394</v>
      </c>
      <c r="C611" s="95">
        <v>2022</v>
      </c>
      <c r="D611" s="96">
        <v>0.4</v>
      </c>
      <c r="E611" s="96"/>
      <c r="F611" s="97">
        <v>5</v>
      </c>
      <c r="G611" s="109">
        <v>29.522749999999998</v>
      </c>
      <c r="H611" s="147"/>
    </row>
    <row r="612" spans="1:8" x14ac:dyDescent="0.25">
      <c r="A612" s="105" t="s">
        <v>5</v>
      </c>
      <c r="B612" s="94" t="s">
        <v>568</v>
      </c>
      <c r="C612" s="95">
        <v>2022</v>
      </c>
      <c r="D612" s="96">
        <v>0.4</v>
      </c>
      <c r="E612" s="96"/>
      <c r="F612" s="97">
        <v>5</v>
      </c>
      <c r="G612" s="106">
        <v>13.447683333333334</v>
      </c>
      <c r="H612" s="147"/>
    </row>
    <row r="613" spans="1:8" x14ac:dyDescent="0.25">
      <c r="A613" s="105" t="s">
        <v>5</v>
      </c>
      <c r="B613" s="94" t="s">
        <v>568</v>
      </c>
      <c r="C613" s="95">
        <v>2022</v>
      </c>
      <c r="D613" s="96">
        <v>0.4</v>
      </c>
      <c r="E613" s="96"/>
      <c r="F613" s="97">
        <v>5</v>
      </c>
      <c r="G613" s="106">
        <v>13.447683333333334</v>
      </c>
      <c r="H613" s="147"/>
    </row>
    <row r="614" spans="1:8" x14ac:dyDescent="0.25">
      <c r="A614" s="105" t="s">
        <v>5</v>
      </c>
      <c r="B614" s="94" t="s">
        <v>568</v>
      </c>
      <c r="C614" s="95">
        <v>2022</v>
      </c>
      <c r="D614" s="96">
        <v>0.4</v>
      </c>
      <c r="E614" s="96"/>
      <c r="F614" s="97">
        <v>5</v>
      </c>
      <c r="G614" s="106">
        <v>13.447683333333334</v>
      </c>
      <c r="H614" s="147"/>
    </row>
    <row r="615" spans="1:8" x14ac:dyDescent="0.25">
      <c r="A615" s="105" t="s">
        <v>5</v>
      </c>
      <c r="B615" s="94" t="s">
        <v>568</v>
      </c>
      <c r="C615" s="95">
        <v>2022</v>
      </c>
      <c r="D615" s="96">
        <v>0.4</v>
      </c>
      <c r="E615" s="96"/>
      <c r="F615" s="97">
        <v>5</v>
      </c>
      <c r="G615" s="106">
        <v>13.447683333333334</v>
      </c>
      <c r="H615" s="147"/>
    </row>
    <row r="616" spans="1:8" x14ac:dyDescent="0.25">
      <c r="A616" s="105" t="s">
        <v>5</v>
      </c>
      <c r="B616" s="94" t="s">
        <v>568</v>
      </c>
      <c r="C616" s="95">
        <v>2022</v>
      </c>
      <c r="D616" s="96">
        <v>0.4</v>
      </c>
      <c r="E616" s="96"/>
      <c r="F616" s="97">
        <v>5</v>
      </c>
      <c r="G616" s="106">
        <v>13.447683333333334</v>
      </c>
      <c r="H616" s="147"/>
    </row>
    <row r="617" spans="1:8" x14ac:dyDescent="0.25">
      <c r="A617" s="105" t="s">
        <v>5</v>
      </c>
      <c r="B617" s="94" t="s">
        <v>568</v>
      </c>
      <c r="C617" s="95">
        <v>2022</v>
      </c>
      <c r="D617" s="96">
        <v>0.4</v>
      </c>
      <c r="E617" s="96"/>
      <c r="F617" s="97">
        <v>5</v>
      </c>
      <c r="G617" s="106">
        <v>13.447683333333334</v>
      </c>
      <c r="H617" s="147"/>
    </row>
    <row r="618" spans="1:8" x14ac:dyDescent="0.25">
      <c r="A618" s="105" t="s">
        <v>13</v>
      </c>
      <c r="B618" s="94" t="s">
        <v>108</v>
      </c>
      <c r="C618" s="95">
        <v>2022</v>
      </c>
      <c r="D618" s="96">
        <v>0.4</v>
      </c>
      <c r="E618" s="96"/>
      <c r="F618" s="97">
        <v>15</v>
      </c>
      <c r="G618" s="106">
        <v>25.379150000000003</v>
      </c>
      <c r="H618" s="147"/>
    </row>
    <row r="619" spans="1:8" x14ac:dyDescent="0.25">
      <c r="A619" s="105" t="s">
        <v>13</v>
      </c>
      <c r="B619" s="94" t="s">
        <v>107</v>
      </c>
      <c r="C619" s="95">
        <v>2022</v>
      </c>
      <c r="D619" s="96">
        <v>0.4</v>
      </c>
      <c r="E619" s="96"/>
      <c r="F619" s="97">
        <v>15</v>
      </c>
      <c r="G619" s="106">
        <v>25.172249999999998</v>
      </c>
      <c r="H619" s="147"/>
    </row>
    <row r="620" spans="1:8" x14ac:dyDescent="0.25">
      <c r="A620" s="105" t="s">
        <v>13</v>
      </c>
      <c r="B620" s="94" t="s">
        <v>106</v>
      </c>
      <c r="C620" s="95">
        <v>2022</v>
      </c>
      <c r="D620" s="96">
        <v>0.4</v>
      </c>
      <c r="E620" s="96"/>
      <c r="F620" s="97">
        <v>15</v>
      </c>
      <c r="G620" s="106">
        <v>25.172249999999998</v>
      </c>
      <c r="H620" s="147"/>
    </row>
    <row r="621" spans="1:8" x14ac:dyDescent="0.25">
      <c r="A621" s="105" t="s">
        <v>13</v>
      </c>
      <c r="B621" s="94" t="s">
        <v>105</v>
      </c>
      <c r="C621" s="95">
        <v>2022</v>
      </c>
      <c r="D621" s="96">
        <v>0.4</v>
      </c>
      <c r="E621" s="96"/>
      <c r="F621" s="97">
        <v>15</v>
      </c>
      <c r="G621" s="106">
        <v>25.172249999999998</v>
      </c>
      <c r="H621" s="147"/>
    </row>
    <row r="622" spans="1:8" x14ac:dyDescent="0.25">
      <c r="A622" s="105" t="s">
        <v>13</v>
      </c>
      <c r="B622" s="94" t="s">
        <v>104</v>
      </c>
      <c r="C622" s="95">
        <v>2022</v>
      </c>
      <c r="D622" s="96">
        <v>0.4</v>
      </c>
      <c r="E622" s="96"/>
      <c r="F622" s="97">
        <v>15</v>
      </c>
      <c r="G622" s="106">
        <v>25.172249999999998</v>
      </c>
      <c r="H622" s="147"/>
    </row>
    <row r="623" spans="1:8" x14ac:dyDescent="0.25">
      <c r="A623" s="105" t="s">
        <v>13</v>
      </c>
      <c r="B623" s="94" t="s">
        <v>103</v>
      </c>
      <c r="C623" s="95">
        <v>2022</v>
      </c>
      <c r="D623" s="96">
        <v>0.4</v>
      </c>
      <c r="E623" s="96"/>
      <c r="F623" s="97">
        <v>15</v>
      </c>
      <c r="G623" s="106">
        <v>24.27786</v>
      </c>
      <c r="H623" s="147"/>
    </row>
    <row r="624" spans="1:8" x14ac:dyDescent="0.25">
      <c r="A624" s="105" t="s">
        <v>13</v>
      </c>
      <c r="B624" s="94" t="s">
        <v>102</v>
      </c>
      <c r="C624" s="95">
        <v>2022</v>
      </c>
      <c r="D624" s="96">
        <v>0.4</v>
      </c>
      <c r="E624" s="96"/>
      <c r="F624" s="97">
        <v>15</v>
      </c>
      <c r="G624" s="106">
        <v>25.299509999999998</v>
      </c>
      <c r="H624" s="147"/>
    </row>
    <row r="625" spans="1:8" x14ac:dyDescent="0.25">
      <c r="A625" s="105" t="s">
        <v>13</v>
      </c>
      <c r="B625" s="94" t="s">
        <v>686</v>
      </c>
      <c r="C625" s="95">
        <v>2022</v>
      </c>
      <c r="D625" s="96">
        <v>0.4</v>
      </c>
      <c r="E625" s="96"/>
      <c r="F625" s="97">
        <v>8</v>
      </c>
      <c r="G625" s="106">
        <v>26.300830000000001</v>
      </c>
      <c r="H625" s="147"/>
    </row>
    <row r="626" spans="1:8" x14ac:dyDescent="0.25">
      <c r="A626" s="105" t="s">
        <v>13</v>
      </c>
      <c r="B626" s="94" t="s">
        <v>101</v>
      </c>
      <c r="C626" s="95">
        <v>2022</v>
      </c>
      <c r="D626" s="96">
        <v>0.4</v>
      </c>
      <c r="E626" s="96"/>
      <c r="F626" s="97">
        <v>15</v>
      </c>
      <c r="G626" s="106">
        <v>51.980499999999999</v>
      </c>
      <c r="H626" s="147"/>
    </row>
    <row r="627" spans="1:8" x14ac:dyDescent="0.25">
      <c r="A627" s="105" t="s">
        <v>13</v>
      </c>
      <c r="B627" s="94" t="s">
        <v>100</v>
      </c>
      <c r="C627" s="95">
        <v>2022</v>
      </c>
      <c r="D627" s="96">
        <v>0.4</v>
      </c>
      <c r="E627" s="96"/>
      <c r="F627" s="97">
        <v>15</v>
      </c>
      <c r="G627" s="106">
        <v>46.388800000000003</v>
      </c>
      <c r="H627" s="147"/>
    </row>
    <row r="628" spans="1:8" x14ac:dyDescent="0.25">
      <c r="A628" s="105" t="s">
        <v>13</v>
      </c>
      <c r="B628" s="94" t="s">
        <v>99</v>
      </c>
      <c r="C628" s="95">
        <v>2022</v>
      </c>
      <c r="D628" s="96">
        <v>0.4</v>
      </c>
      <c r="E628" s="96"/>
      <c r="F628" s="97">
        <v>15</v>
      </c>
      <c r="G628" s="106">
        <v>23.661440000000002</v>
      </c>
      <c r="H628" s="147"/>
    </row>
    <row r="629" spans="1:8" x14ac:dyDescent="0.25">
      <c r="A629" s="105" t="s">
        <v>13</v>
      </c>
      <c r="B629" s="94" t="s">
        <v>98</v>
      </c>
      <c r="C629" s="95">
        <v>2022</v>
      </c>
      <c r="D629" s="96">
        <v>0.4</v>
      </c>
      <c r="E629" s="96"/>
      <c r="F629" s="97">
        <v>15</v>
      </c>
      <c r="G629" s="106">
        <v>25.33765</v>
      </c>
      <c r="H629" s="147"/>
    </row>
    <row r="630" spans="1:8" x14ac:dyDescent="0.25">
      <c r="A630" s="105" t="s">
        <v>13</v>
      </c>
      <c r="B630" s="94" t="s">
        <v>97</v>
      </c>
      <c r="C630" s="95">
        <v>2022</v>
      </c>
      <c r="D630" s="96">
        <v>0.4</v>
      </c>
      <c r="E630" s="96"/>
      <c r="F630" s="97">
        <v>15</v>
      </c>
      <c r="G630" s="106">
        <v>25.33765</v>
      </c>
      <c r="H630" s="147"/>
    </row>
    <row r="631" spans="1:8" x14ac:dyDescent="0.25">
      <c r="A631" s="105" t="s">
        <v>13</v>
      </c>
      <c r="B631" s="94" t="s">
        <v>96</v>
      </c>
      <c r="C631" s="95">
        <v>2022</v>
      </c>
      <c r="D631" s="96">
        <v>0.4</v>
      </c>
      <c r="E631" s="96"/>
      <c r="F631" s="97">
        <v>15</v>
      </c>
      <c r="G631" s="106">
        <v>26.612779999999997</v>
      </c>
      <c r="H631" s="147"/>
    </row>
    <row r="632" spans="1:8" x14ac:dyDescent="0.25">
      <c r="A632" s="105" t="s">
        <v>5</v>
      </c>
      <c r="B632" s="94" t="s">
        <v>95</v>
      </c>
      <c r="C632" s="95">
        <v>2022</v>
      </c>
      <c r="D632" s="96">
        <v>0.4</v>
      </c>
      <c r="E632" s="96"/>
      <c r="F632" s="97">
        <v>5</v>
      </c>
      <c r="G632" s="98">
        <v>26.612779999999997</v>
      </c>
      <c r="H632" s="147"/>
    </row>
    <row r="633" spans="1:8" x14ac:dyDescent="0.25">
      <c r="A633" s="105" t="s">
        <v>13</v>
      </c>
      <c r="B633" s="94" t="s">
        <v>94</v>
      </c>
      <c r="C633" s="95">
        <v>2022</v>
      </c>
      <c r="D633" s="96">
        <v>0.4</v>
      </c>
      <c r="E633" s="96"/>
      <c r="F633" s="97">
        <v>15</v>
      </c>
      <c r="G633" s="106">
        <v>14.787780000000001</v>
      </c>
      <c r="H633" s="147"/>
    </row>
    <row r="634" spans="1:8" x14ac:dyDescent="0.25">
      <c r="A634" s="105" t="s">
        <v>5</v>
      </c>
      <c r="B634" s="94" t="s">
        <v>93</v>
      </c>
      <c r="C634" s="95">
        <v>2022</v>
      </c>
      <c r="D634" s="96">
        <v>0.4</v>
      </c>
      <c r="E634" s="96"/>
      <c r="F634" s="97">
        <v>5</v>
      </c>
      <c r="G634" s="98">
        <v>14.673440000000001</v>
      </c>
      <c r="H634" s="147"/>
    </row>
    <row r="635" spans="1:8" x14ac:dyDescent="0.25">
      <c r="A635" s="105" t="s">
        <v>13</v>
      </c>
      <c r="B635" s="94" t="s">
        <v>92</v>
      </c>
      <c r="C635" s="95">
        <v>2022</v>
      </c>
      <c r="D635" s="96">
        <v>0.4</v>
      </c>
      <c r="E635" s="96"/>
      <c r="F635" s="97">
        <v>15</v>
      </c>
      <c r="G635" s="106">
        <v>27.066490000000002</v>
      </c>
      <c r="H635" s="147"/>
    </row>
    <row r="636" spans="1:8" x14ac:dyDescent="0.25">
      <c r="A636" s="105" t="s">
        <v>13</v>
      </c>
      <c r="B636" s="94" t="s">
        <v>91</v>
      </c>
      <c r="C636" s="95">
        <v>2022</v>
      </c>
      <c r="D636" s="96">
        <v>0.4</v>
      </c>
      <c r="E636" s="96"/>
      <c r="F636" s="97">
        <v>15</v>
      </c>
      <c r="G636" s="106">
        <v>25.43534</v>
      </c>
      <c r="H636" s="147"/>
    </row>
    <row r="637" spans="1:8" x14ac:dyDescent="0.25">
      <c r="A637" s="105" t="s">
        <v>13</v>
      </c>
      <c r="B637" s="94" t="s">
        <v>90</v>
      </c>
      <c r="C637" s="95">
        <v>2022</v>
      </c>
      <c r="D637" s="96">
        <v>0.4</v>
      </c>
      <c r="E637" s="96"/>
      <c r="F637" s="97">
        <v>10</v>
      </c>
      <c r="G637" s="108">
        <v>28.255500000000001</v>
      </c>
      <c r="H637" s="147"/>
    </row>
    <row r="638" spans="1:8" x14ac:dyDescent="0.25">
      <c r="A638" s="105" t="s">
        <v>5</v>
      </c>
      <c r="B638" s="94" t="s">
        <v>89</v>
      </c>
      <c r="C638" s="95">
        <v>2022</v>
      </c>
      <c r="D638" s="96">
        <v>0.4</v>
      </c>
      <c r="E638" s="96"/>
      <c r="F638" s="97">
        <v>5</v>
      </c>
      <c r="G638" s="98">
        <v>13.152379999999999</v>
      </c>
      <c r="H638" s="147"/>
    </row>
    <row r="639" spans="1:8" x14ac:dyDescent="0.25">
      <c r="A639" s="105" t="s">
        <v>5</v>
      </c>
      <c r="B639" s="94" t="s">
        <v>689</v>
      </c>
      <c r="C639" s="95">
        <v>2022</v>
      </c>
      <c r="D639" s="96">
        <v>0.4</v>
      </c>
      <c r="E639" s="96"/>
      <c r="F639" s="97">
        <v>5</v>
      </c>
      <c r="G639" s="98">
        <v>14.48039</v>
      </c>
      <c r="H639" s="147"/>
    </row>
    <row r="640" spans="1:8" x14ac:dyDescent="0.25">
      <c r="A640" s="105" t="s">
        <v>5</v>
      </c>
      <c r="B640" s="94" t="s">
        <v>689</v>
      </c>
      <c r="C640" s="95">
        <v>2022</v>
      </c>
      <c r="D640" s="96">
        <v>0.4</v>
      </c>
      <c r="E640" s="96"/>
      <c r="F640" s="97">
        <v>5</v>
      </c>
      <c r="G640" s="98">
        <v>14.480399999999999</v>
      </c>
      <c r="H640" s="147"/>
    </row>
    <row r="641" spans="1:8" x14ac:dyDescent="0.25">
      <c r="A641" s="105" t="s">
        <v>5</v>
      </c>
      <c r="B641" s="94" t="s">
        <v>689</v>
      </c>
      <c r="C641" s="95">
        <v>2022</v>
      </c>
      <c r="D641" s="96">
        <v>0.4</v>
      </c>
      <c r="E641" s="96"/>
      <c r="F641" s="97">
        <v>5</v>
      </c>
      <c r="G641" s="98">
        <v>14.48039</v>
      </c>
      <c r="H641" s="147"/>
    </row>
    <row r="642" spans="1:8" x14ac:dyDescent="0.25">
      <c r="A642" s="105" t="s">
        <v>5</v>
      </c>
      <c r="B642" s="94" t="s">
        <v>689</v>
      </c>
      <c r="C642" s="95">
        <v>2022</v>
      </c>
      <c r="D642" s="96">
        <v>0.4</v>
      </c>
      <c r="E642" s="96"/>
      <c r="F642" s="97">
        <v>5</v>
      </c>
      <c r="G642" s="98">
        <v>13.949549999999999</v>
      </c>
      <c r="H642" s="147"/>
    </row>
    <row r="643" spans="1:8" x14ac:dyDescent="0.25">
      <c r="A643" s="105" t="s">
        <v>5</v>
      </c>
      <c r="B643" s="94" t="s">
        <v>689</v>
      </c>
      <c r="C643" s="95">
        <v>2022</v>
      </c>
      <c r="D643" s="96">
        <v>0.4</v>
      </c>
      <c r="E643" s="96"/>
      <c r="F643" s="97">
        <v>5</v>
      </c>
      <c r="G643" s="98">
        <v>13.97955</v>
      </c>
      <c r="H643" s="147"/>
    </row>
    <row r="644" spans="1:8" x14ac:dyDescent="0.25">
      <c r="A644" s="105" t="s">
        <v>5</v>
      </c>
      <c r="B644" s="94" t="s">
        <v>689</v>
      </c>
      <c r="C644" s="95">
        <v>2022</v>
      </c>
      <c r="D644" s="96">
        <v>0.4</v>
      </c>
      <c r="E644" s="96"/>
      <c r="F644" s="97">
        <v>5</v>
      </c>
      <c r="G644" s="98">
        <v>14.061219999999999</v>
      </c>
      <c r="H644" s="147"/>
    </row>
    <row r="645" spans="1:8" x14ac:dyDescent="0.25">
      <c r="A645" s="105" t="s">
        <v>5</v>
      </c>
      <c r="B645" s="94" t="s">
        <v>689</v>
      </c>
      <c r="C645" s="95">
        <v>2022</v>
      </c>
      <c r="D645" s="96">
        <v>0.4</v>
      </c>
      <c r="E645" s="96"/>
      <c r="F645" s="97">
        <v>5</v>
      </c>
      <c r="G645" s="98">
        <v>14.29622</v>
      </c>
      <c r="H645" s="147"/>
    </row>
    <row r="646" spans="1:8" x14ac:dyDescent="0.25">
      <c r="A646" s="105" t="s">
        <v>5</v>
      </c>
      <c r="B646" s="94" t="s">
        <v>689</v>
      </c>
      <c r="C646" s="95">
        <v>2022</v>
      </c>
      <c r="D646" s="96">
        <v>0.4</v>
      </c>
      <c r="E646" s="96"/>
      <c r="F646" s="97">
        <v>5</v>
      </c>
      <c r="G646" s="98">
        <v>14.3904</v>
      </c>
      <c r="H646" s="147"/>
    </row>
    <row r="647" spans="1:8" x14ac:dyDescent="0.25">
      <c r="A647" s="105" t="s">
        <v>5</v>
      </c>
      <c r="B647" s="94" t="s">
        <v>689</v>
      </c>
      <c r="C647" s="95">
        <v>2022</v>
      </c>
      <c r="D647" s="96">
        <v>0.4</v>
      </c>
      <c r="E647" s="96"/>
      <c r="F647" s="97">
        <v>5</v>
      </c>
      <c r="G647" s="98">
        <v>14.337899999999999</v>
      </c>
      <c r="H647" s="147"/>
    </row>
    <row r="648" spans="1:8" x14ac:dyDescent="0.25">
      <c r="A648" s="105" t="s">
        <v>5</v>
      </c>
      <c r="B648" s="94" t="s">
        <v>88</v>
      </c>
      <c r="C648" s="95">
        <v>2022</v>
      </c>
      <c r="D648" s="96">
        <v>0.4</v>
      </c>
      <c r="E648" s="96"/>
      <c r="F648" s="97">
        <v>5</v>
      </c>
      <c r="G648" s="98">
        <v>12.83817</v>
      </c>
      <c r="H648" s="147"/>
    </row>
    <row r="649" spans="1:8" x14ac:dyDescent="0.25">
      <c r="A649" s="105" t="s">
        <v>13</v>
      </c>
      <c r="B649" s="94" t="s">
        <v>87</v>
      </c>
      <c r="C649" s="95">
        <v>2022</v>
      </c>
      <c r="D649" s="96">
        <v>0.4</v>
      </c>
      <c r="E649" s="96"/>
      <c r="F649" s="97">
        <v>15</v>
      </c>
      <c r="G649" s="106">
        <v>46.779660000000007</v>
      </c>
      <c r="H649" s="147"/>
    </row>
    <row r="650" spans="1:8" x14ac:dyDescent="0.25">
      <c r="A650" s="105" t="s">
        <v>5</v>
      </c>
      <c r="B650" s="94" t="s">
        <v>63</v>
      </c>
      <c r="C650" s="95">
        <v>2022</v>
      </c>
      <c r="D650" s="96">
        <v>0.4</v>
      </c>
      <c r="E650" s="96"/>
      <c r="F650" s="97">
        <v>5</v>
      </c>
      <c r="G650" s="98">
        <v>13.05903</v>
      </c>
      <c r="H650" s="147"/>
    </row>
    <row r="651" spans="1:8" x14ac:dyDescent="0.25">
      <c r="A651" s="105" t="s">
        <v>13</v>
      </c>
      <c r="B651" s="94" t="s">
        <v>86</v>
      </c>
      <c r="C651" s="95">
        <v>2022</v>
      </c>
      <c r="D651" s="96">
        <v>0.4</v>
      </c>
      <c r="E651" s="96"/>
      <c r="F651" s="97">
        <v>15</v>
      </c>
      <c r="G651" s="106">
        <v>25.59965</v>
      </c>
      <c r="H651" s="147"/>
    </row>
    <row r="652" spans="1:8" x14ac:dyDescent="0.25">
      <c r="A652" s="105" t="s">
        <v>13</v>
      </c>
      <c r="B652" s="94" t="s">
        <v>85</v>
      </c>
      <c r="C652" s="95">
        <v>2022</v>
      </c>
      <c r="D652" s="96">
        <v>0.4</v>
      </c>
      <c r="E652" s="96"/>
      <c r="F652" s="97">
        <v>15</v>
      </c>
      <c r="G652" s="106">
        <v>25.728660000000001</v>
      </c>
      <c r="H652" s="147"/>
    </row>
    <row r="653" spans="1:8" x14ac:dyDescent="0.25">
      <c r="A653" s="105" t="s">
        <v>13</v>
      </c>
      <c r="B653" s="94" t="s">
        <v>84</v>
      </c>
      <c r="C653" s="95">
        <v>2022</v>
      </c>
      <c r="D653" s="96">
        <v>0.4</v>
      </c>
      <c r="E653" s="96"/>
      <c r="F653" s="97">
        <v>15</v>
      </c>
      <c r="G653" s="106">
        <v>25.367650000000001</v>
      </c>
      <c r="H653" s="147"/>
    </row>
    <row r="654" spans="1:8" x14ac:dyDescent="0.25">
      <c r="A654" s="105" t="s">
        <v>13</v>
      </c>
      <c r="B654" s="94" t="s">
        <v>83</v>
      </c>
      <c r="C654" s="95">
        <v>2022</v>
      </c>
      <c r="D654" s="96">
        <v>0.4</v>
      </c>
      <c r="E654" s="96"/>
      <c r="F654" s="97">
        <v>15</v>
      </c>
      <c r="G654" s="106">
        <v>49.015500000000003</v>
      </c>
      <c r="H654" s="147"/>
    </row>
    <row r="655" spans="1:8" x14ac:dyDescent="0.25">
      <c r="A655" s="105" t="s">
        <v>13</v>
      </c>
      <c r="B655" s="94" t="s">
        <v>82</v>
      </c>
      <c r="C655" s="95">
        <v>2022</v>
      </c>
      <c r="D655" s="96">
        <v>0.4</v>
      </c>
      <c r="E655" s="96"/>
      <c r="F655" s="97">
        <v>15</v>
      </c>
      <c r="G655" s="106">
        <v>25.59967</v>
      </c>
      <c r="H655" s="147"/>
    </row>
    <row r="656" spans="1:8" x14ac:dyDescent="0.25">
      <c r="A656" s="105" t="s">
        <v>13</v>
      </c>
      <c r="B656" s="94" t="s">
        <v>81</v>
      </c>
      <c r="C656" s="95">
        <v>2022</v>
      </c>
      <c r="D656" s="96">
        <v>0.4</v>
      </c>
      <c r="E656" s="96"/>
      <c r="F656" s="97">
        <v>15</v>
      </c>
      <c r="G656" s="106">
        <v>25.36431</v>
      </c>
      <c r="H656" s="147"/>
    </row>
    <row r="657" spans="1:8" x14ac:dyDescent="0.25">
      <c r="A657" s="105" t="s">
        <v>5</v>
      </c>
      <c r="B657" s="94" t="s">
        <v>80</v>
      </c>
      <c r="C657" s="95">
        <v>2022</v>
      </c>
      <c r="D657" s="96">
        <v>0.4</v>
      </c>
      <c r="E657" s="96"/>
      <c r="F657" s="97">
        <v>5</v>
      </c>
      <c r="G657" s="98">
        <v>13.093209999999999</v>
      </c>
      <c r="H657" s="147"/>
    </row>
    <row r="658" spans="1:8" x14ac:dyDescent="0.25">
      <c r="A658" s="105" t="s">
        <v>5</v>
      </c>
      <c r="B658" s="110" t="s">
        <v>89</v>
      </c>
      <c r="C658" s="95">
        <v>2022</v>
      </c>
      <c r="D658" s="96">
        <v>0.4</v>
      </c>
      <c r="E658" s="96"/>
      <c r="F658" s="111">
        <v>5</v>
      </c>
      <c r="G658" s="101">
        <v>13.313600000000001</v>
      </c>
      <c r="H658" s="147"/>
    </row>
    <row r="659" spans="1:8" x14ac:dyDescent="0.25">
      <c r="A659" s="105" t="s">
        <v>13</v>
      </c>
      <c r="B659" s="94" t="s">
        <v>79</v>
      </c>
      <c r="C659" s="95">
        <v>2022</v>
      </c>
      <c r="D659" s="96">
        <v>0.4</v>
      </c>
      <c r="E659" s="96"/>
      <c r="F659" s="97">
        <v>15</v>
      </c>
      <c r="G659" s="106">
        <v>25.33766</v>
      </c>
      <c r="H659" s="147"/>
    </row>
    <row r="660" spans="1:8" x14ac:dyDescent="0.25">
      <c r="A660" s="105" t="s">
        <v>5</v>
      </c>
      <c r="B660" s="94" t="s">
        <v>78</v>
      </c>
      <c r="C660" s="95">
        <v>2022</v>
      </c>
      <c r="D660" s="96">
        <v>0.4</v>
      </c>
      <c r="E660" s="96"/>
      <c r="F660" s="97">
        <v>5</v>
      </c>
      <c r="G660" s="98">
        <v>15.743</v>
      </c>
      <c r="H660" s="147"/>
    </row>
    <row r="661" spans="1:8" x14ac:dyDescent="0.25">
      <c r="A661" s="105" t="s">
        <v>13</v>
      </c>
      <c r="B661" s="94" t="s">
        <v>77</v>
      </c>
      <c r="C661" s="95">
        <v>2022</v>
      </c>
      <c r="D661" s="96">
        <v>0.4</v>
      </c>
      <c r="E661" s="96"/>
      <c r="F661" s="97">
        <v>15</v>
      </c>
      <c r="G661" s="106">
        <v>46.479669999999999</v>
      </c>
      <c r="H661" s="147"/>
    </row>
    <row r="662" spans="1:8" x14ac:dyDescent="0.25">
      <c r="A662" s="105" t="s">
        <v>13</v>
      </c>
      <c r="B662" s="94" t="s">
        <v>76</v>
      </c>
      <c r="C662" s="95">
        <v>2022</v>
      </c>
      <c r="D662" s="96">
        <v>0.4</v>
      </c>
      <c r="E662" s="96"/>
      <c r="F662" s="97">
        <v>15</v>
      </c>
      <c r="G662" s="106">
        <v>25.16667</v>
      </c>
      <c r="H662" s="147"/>
    </row>
    <row r="663" spans="1:8" x14ac:dyDescent="0.25">
      <c r="A663" s="105" t="s">
        <v>13</v>
      </c>
      <c r="B663" s="94" t="s">
        <v>75</v>
      </c>
      <c r="C663" s="95">
        <v>2022</v>
      </c>
      <c r="D663" s="96">
        <v>0.4</v>
      </c>
      <c r="E663" s="96"/>
      <c r="F663" s="97">
        <v>15</v>
      </c>
      <c r="G663" s="106">
        <v>25.36431</v>
      </c>
      <c r="H663" s="147"/>
    </row>
    <row r="664" spans="1:8" x14ac:dyDescent="0.25">
      <c r="A664" s="105" t="s">
        <v>5</v>
      </c>
      <c r="B664" s="94" t="s">
        <v>74</v>
      </c>
      <c r="C664" s="95">
        <v>2022</v>
      </c>
      <c r="D664" s="96">
        <v>0.4</v>
      </c>
      <c r="E664" s="96"/>
      <c r="F664" s="97">
        <v>6</v>
      </c>
      <c r="G664" s="98">
        <v>27.326490000000003</v>
      </c>
      <c r="H664" s="147"/>
    </row>
    <row r="665" spans="1:8" x14ac:dyDescent="0.25">
      <c r="A665" s="105" t="s">
        <v>5</v>
      </c>
      <c r="B665" s="94" t="s">
        <v>73</v>
      </c>
      <c r="C665" s="95">
        <v>2022</v>
      </c>
      <c r="D665" s="96">
        <v>0.4</v>
      </c>
      <c r="E665" s="96"/>
      <c r="F665" s="97">
        <v>5</v>
      </c>
      <c r="G665" s="98">
        <v>12.868589999999999</v>
      </c>
      <c r="H665" s="147"/>
    </row>
    <row r="666" spans="1:8" x14ac:dyDescent="0.25">
      <c r="A666" s="105" t="s">
        <v>13</v>
      </c>
      <c r="B666" s="94" t="s">
        <v>72</v>
      </c>
      <c r="C666" s="95">
        <v>2022</v>
      </c>
      <c r="D666" s="96">
        <v>0.4</v>
      </c>
      <c r="E666" s="96"/>
      <c r="F666" s="97">
        <v>15</v>
      </c>
      <c r="G666" s="106">
        <v>25.45298</v>
      </c>
      <c r="H666" s="147"/>
    </row>
    <row r="667" spans="1:8" x14ac:dyDescent="0.25">
      <c r="A667" s="105" t="s">
        <v>5</v>
      </c>
      <c r="B667" s="94" t="s">
        <v>71</v>
      </c>
      <c r="C667" s="95">
        <v>2022</v>
      </c>
      <c r="D667" s="96">
        <v>0.4</v>
      </c>
      <c r="E667" s="96"/>
      <c r="F667" s="97">
        <v>5</v>
      </c>
      <c r="G667" s="98">
        <v>13.21067</v>
      </c>
      <c r="H667" s="147"/>
    </row>
    <row r="668" spans="1:8" x14ac:dyDescent="0.25">
      <c r="A668" s="105" t="s">
        <v>5</v>
      </c>
      <c r="B668" s="94" t="s">
        <v>70</v>
      </c>
      <c r="C668" s="95">
        <v>2022</v>
      </c>
      <c r="D668" s="96">
        <v>0.4</v>
      </c>
      <c r="E668" s="96"/>
      <c r="F668" s="97">
        <v>5</v>
      </c>
      <c r="G668" s="98">
        <v>13.10492</v>
      </c>
      <c r="H668" s="147"/>
    </row>
    <row r="669" spans="1:8" x14ac:dyDescent="0.25">
      <c r="A669" s="105" t="s">
        <v>5</v>
      </c>
      <c r="B669" s="94" t="s">
        <v>69</v>
      </c>
      <c r="C669" s="95">
        <v>2022</v>
      </c>
      <c r="D669" s="96">
        <v>0.4</v>
      </c>
      <c r="E669" s="96"/>
      <c r="F669" s="97">
        <v>5</v>
      </c>
      <c r="G669" s="98">
        <v>30.546529999999997</v>
      </c>
      <c r="H669" s="147"/>
    </row>
    <row r="670" spans="1:8" x14ac:dyDescent="0.25">
      <c r="A670" s="105" t="s">
        <v>5</v>
      </c>
      <c r="B670" s="94" t="s">
        <v>68</v>
      </c>
      <c r="C670" s="95">
        <v>2022</v>
      </c>
      <c r="D670" s="96">
        <v>0.4</v>
      </c>
      <c r="E670" s="96"/>
      <c r="F670" s="97">
        <v>5</v>
      </c>
      <c r="G670" s="98">
        <v>15.51618</v>
      </c>
      <c r="H670" s="147"/>
    </row>
    <row r="671" spans="1:8" x14ac:dyDescent="0.25">
      <c r="A671" s="105" t="s">
        <v>13</v>
      </c>
      <c r="B671" s="94" t="s">
        <v>67</v>
      </c>
      <c r="C671" s="95">
        <v>2022</v>
      </c>
      <c r="D671" s="96">
        <v>0.4</v>
      </c>
      <c r="E671" s="96"/>
      <c r="F671" s="97">
        <v>15</v>
      </c>
      <c r="G671" s="106">
        <v>25.44951</v>
      </c>
      <c r="H671" s="147"/>
    </row>
    <row r="672" spans="1:8" x14ac:dyDescent="0.25">
      <c r="A672" s="105" t="s">
        <v>13</v>
      </c>
      <c r="B672" s="94" t="s">
        <v>690</v>
      </c>
      <c r="C672" s="95">
        <v>2022</v>
      </c>
      <c r="D672" s="96">
        <v>0.4</v>
      </c>
      <c r="E672" s="96"/>
      <c r="F672" s="97">
        <v>10</v>
      </c>
      <c r="G672" s="106">
        <v>25.16667</v>
      </c>
      <c r="H672" s="147"/>
    </row>
    <row r="673" spans="1:8" x14ac:dyDescent="0.25">
      <c r="A673" s="105" t="s">
        <v>13</v>
      </c>
      <c r="B673" s="94" t="s">
        <v>691</v>
      </c>
      <c r="C673" s="95">
        <v>2022</v>
      </c>
      <c r="D673" s="96">
        <v>0.4</v>
      </c>
      <c r="E673" s="96"/>
      <c r="F673" s="97">
        <v>15</v>
      </c>
      <c r="G673" s="106">
        <v>25.422849999999997</v>
      </c>
      <c r="H673" s="147"/>
    </row>
    <row r="674" spans="1:8" x14ac:dyDescent="0.25">
      <c r="A674" s="105" t="s">
        <v>13</v>
      </c>
      <c r="B674" s="94" t="s">
        <v>66</v>
      </c>
      <c r="C674" s="95">
        <v>2022</v>
      </c>
      <c r="D674" s="96">
        <v>0.4</v>
      </c>
      <c r="E674" s="96"/>
      <c r="F674" s="97">
        <v>15</v>
      </c>
      <c r="G674" s="106">
        <v>27.188980000000001</v>
      </c>
      <c r="H674" s="147"/>
    </row>
    <row r="675" spans="1:8" x14ac:dyDescent="0.25">
      <c r="A675" s="105" t="s">
        <v>13</v>
      </c>
      <c r="B675" s="94" t="s">
        <v>65</v>
      </c>
      <c r="C675" s="95">
        <v>2022</v>
      </c>
      <c r="D675" s="96">
        <v>0.4</v>
      </c>
      <c r="E675" s="96"/>
      <c r="F675" s="97">
        <v>15</v>
      </c>
      <c r="G675" s="106">
        <v>27.326490000000003</v>
      </c>
      <c r="H675" s="147"/>
    </row>
    <row r="676" spans="1:8" x14ac:dyDescent="0.25">
      <c r="A676" s="105" t="s">
        <v>13</v>
      </c>
      <c r="B676" s="94" t="s">
        <v>692</v>
      </c>
      <c r="C676" s="95">
        <v>2022</v>
      </c>
      <c r="D676" s="96">
        <v>0.4</v>
      </c>
      <c r="E676" s="96"/>
      <c r="F676" s="97">
        <v>15</v>
      </c>
      <c r="G676" s="106">
        <v>28.647389999999998</v>
      </c>
      <c r="H676" s="147"/>
    </row>
    <row r="677" spans="1:8" x14ac:dyDescent="0.25">
      <c r="A677" s="105" t="s">
        <v>13</v>
      </c>
      <c r="B677" s="94" t="s">
        <v>64</v>
      </c>
      <c r="C677" s="95">
        <v>2022</v>
      </c>
      <c r="D677" s="96">
        <v>0.4</v>
      </c>
      <c r="E677" s="96"/>
      <c r="F677" s="97">
        <v>15</v>
      </c>
      <c r="G677" s="106">
        <v>25.513330000000003</v>
      </c>
      <c r="H677" s="147"/>
    </row>
    <row r="678" spans="1:8" x14ac:dyDescent="0.25">
      <c r="A678" s="105" t="s">
        <v>5</v>
      </c>
      <c r="B678" s="94" t="s">
        <v>63</v>
      </c>
      <c r="C678" s="95">
        <v>2022</v>
      </c>
      <c r="D678" s="96">
        <v>0.4</v>
      </c>
      <c r="E678" s="96"/>
      <c r="F678" s="97">
        <v>5</v>
      </c>
      <c r="G678" s="98">
        <v>10.722049999999999</v>
      </c>
      <c r="H678" s="147"/>
    </row>
    <row r="679" spans="1:8" x14ac:dyDescent="0.25">
      <c r="A679" s="105" t="s">
        <v>13</v>
      </c>
      <c r="B679" s="94" t="s">
        <v>62</v>
      </c>
      <c r="C679" s="95">
        <v>2022</v>
      </c>
      <c r="D679" s="96">
        <v>0.4</v>
      </c>
      <c r="E679" s="96"/>
      <c r="F679" s="97">
        <v>15</v>
      </c>
      <c r="G679" s="106">
        <v>25.28098</v>
      </c>
      <c r="H679" s="147"/>
    </row>
    <row r="680" spans="1:8" x14ac:dyDescent="0.25">
      <c r="A680" s="105" t="s">
        <v>5</v>
      </c>
      <c r="B680" s="94" t="s">
        <v>693</v>
      </c>
      <c r="C680" s="95">
        <v>2022</v>
      </c>
      <c r="D680" s="96">
        <v>0.4</v>
      </c>
      <c r="E680" s="96"/>
      <c r="F680" s="97">
        <v>5</v>
      </c>
      <c r="G680" s="98">
        <v>12.8065</v>
      </c>
      <c r="H680" s="147"/>
    </row>
    <row r="681" spans="1:8" x14ac:dyDescent="0.25">
      <c r="A681" s="105" t="s">
        <v>13</v>
      </c>
      <c r="B681" s="94" t="s">
        <v>61</v>
      </c>
      <c r="C681" s="95">
        <v>2022</v>
      </c>
      <c r="D681" s="96">
        <v>0.4</v>
      </c>
      <c r="E681" s="96"/>
      <c r="F681" s="97">
        <v>15</v>
      </c>
      <c r="G681" s="106">
        <v>27.542369999999998</v>
      </c>
      <c r="H681" s="147"/>
    </row>
    <row r="682" spans="1:8" x14ac:dyDescent="0.25">
      <c r="A682" s="105" t="s">
        <v>5</v>
      </c>
      <c r="B682" s="94" t="s">
        <v>60</v>
      </c>
      <c r="C682" s="95">
        <v>2022</v>
      </c>
      <c r="D682" s="96">
        <v>0.4</v>
      </c>
      <c r="E682" s="96"/>
      <c r="F682" s="97">
        <v>5</v>
      </c>
      <c r="G682" s="98">
        <v>27.326490000000003</v>
      </c>
      <c r="H682" s="147"/>
    </row>
    <row r="683" spans="1:8" x14ac:dyDescent="0.25">
      <c r="A683" s="105" t="s">
        <v>13</v>
      </c>
      <c r="B683" s="94" t="s">
        <v>60</v>
      </c>
      <c r="C683" s="95">
        <v>2022</v>
      </c>
      <c r="D683" s="96">
        <v>0.4</v>
      </c>
      <c r="E683" s="96"/>
      <c r="F683" s="97">
        <v>15</v>
      </c>
      <c r="G683" s="106">
        <v>25.7912</v>
      </c>
      <c r="H683" s="147"/>
    </row>
    <row r="684" spans="1:8" x14ac:dyDescent="0.25">
      <c r="A684" s="105" t="s">
        <v>5</v>
      </c>
      <c r="B684" s="94" t="s">
        <v>59</v>
      </c>
      <c r="C684" s="95">
        <v>2022</v>
      </c>
      <c r="D684" s="96">
        <v>0.4</v>
      </c>
      <c r="E684" s="96"/>
      <c r="F684" s="97">
        <v>5</v>
      </c>
      <c r="G684" s="98">
        <v>13.154860000000001</v>
      </c>
      <c r="H684" s="147"/>
    </row>
    <row r="685" spans="1:8" x14ac:dyDescent="0.25">
      <c r="A685" s="105" t="s">
        <v>5</v>
      </c>
      <c r="B685" s="94" t="s">
        <v>394</v>
      </c>
      <c r="C685" s="95">
        <v>2022</v>
      </c>
      <c r="D685" s="96">
        <v>0.4</v>
      </c>
      <c r="E685" s="96"/>
      <c r="F685" s="97">
        <v>5</v>
      </c>
      <c r="G685" s="98">
        <v>13.386799999999999</v>
      </c>
      <c r="H685" s="147"/>
    </row>
    <row r="686" spans="1:8" x14ac:dyDescent="0.25">
      <c r="A686" s="105" t="s">
        <v>13</v>
      </c>
      <c r="B686" s="94" t="s">
        <v>58</v>
      </c>
      <c r="C686" s="95">
        <v>2022</v>
      </c>
      <c r="D686" s="96">
        <v>0.4</v>
      </c>
      <c r="E686" s="96"/>
      <c r="F686" s="97">
        <v>15</v>
      </c>
      <c r="G686" s="106">
        <v>25.422840000000001</v>
      </c>
      <c r="H686" s="147"/>
    </row>
    <row r="687" spans="1:8" x14ac:dyDescent="0.25">
      <c r="A687" s="105" t="s">
        <v>13</v>
      </c>
      <c r="B687" s="94" t="s">
        <v>57</v>
      </c>
      <c r="C687" s="95">
        <v>2022</v>
      </c>
      <c r="D687" s="96">
        <v>0.4</v>
      </c>
      <c r="E687" s="96"/>
      <c r="F687" s="97">
        <v>15</v>
      </c>
      <c r="G687" s="106">
        <v>27.926179999999999</v>
      </c>
      <c r="H687" s="147"/>
    </row>
    <row r="688" spans="1:8" x14ac:dyDescent="0.25">
      <c r="A688" s="105" t="s">
        <v>13</v>
      </c>
      <c r="B688" s="94" t="s">
        <v>115</v>
      </c>
      <c r="C688" s="95">
        <v>2022</v>
      </c>
      <c r="D688" s="96">
        <v>0.4</v>
      </c>
      <c r="E688" s="96"/>
      <c r="F688" s="97">
        <v>15</v>
      </c>
      <c r="G688" s="106">
        <v>25.602509999999999</v>
      </c>
      <c r="H688" s="147"/>
    </row>
    <row r="689" spans="1:8" x14ac:dyDescent="0.25">
      <c r="A689" s="105" t="s">
        <v>13</v>
      </c>
      <c r="B689" s="94" t="s">
        <v>56</v>
      </c>
      <c r="C689" s="95">
        <v>2022</v>
      </c>
      <c r="D689" s="96">
        <v>0.4</v>
      </c>
      <c r="E689" s="96"/>
      <c r="F689" s="97">
        <v>15</v>
      </c>
      <c r="G689" s="106">
        <v>46.479669999999999</v>
      </c>
      <c r="H689" s="147"/>
    </row>
    <row r="690" spans="1:8" x14ac:dyDescent="0.25">
      <c r="A690" s="105" t="s">
        <v>13</v>
      </c>
      <c r="B690" s="94" t="s">
        <v>55</v>
      </c>
      <c r="C690" s="95">
        <v>2022</v>
      </c>
      <c r="D690" s="96">
        <v>0.4</v>
      </c>
      <c r="E690" s="96"/>
      <c r="F690" s="97">
        <v>15</v>
      </c>
      <c r="G690" s="106">
        <v>25.489509999999999</v>
      </c>
      <c r="H690" s="147"/>
    </row>
    <row r="691" spans="1:8" x14ac:dyDescent="0.25">
      <c r="A691" s="105" t="s">
        <v>5</v>
      </c>
      <c r="B691" s="94" t="s">
        <v>54</v>
      </c>
      <c r="C691" s="95">
        <v>2022</v>
      </c>
      <c r="D691" s="96">
        <v>0.4</v>
      </c>
      <c r="E691" s="96"/>
      <c r="F691" s="97">
        <v>5</v>
      </c>
      <c r="G691" s="98">
        <v>12.883599999999999</v>
      </c>
      <c r="H691" s="147"/>
    </row>
    <row r="692" spans="1:8" x14ac:dyDescent="0.25">
      <c r="A692" s="105" t="s">
        <v>13</v>
      </c>
      <c r="B692" s="94" t="s">
        <v>53</v>
      </c>
      <c r="C692" s="95">
        <v>2022</v>
      </c>
      <c r="D692" s="96">
        <v>0.4</v>
      </c>
      <c r="E692" s="96"/>
      <c r="F692" s="97">
        <v>15</v>
      </c>
      <c r="G692" s="106">
        <v>25.221810000000001</v>
      </c>
      <c r="H692" s="147"/>
    </row>
    <row r="693" spans="1:8" x14ac:dyDescent="0.25">
      <c r="A693" s="105" t="s">
        <v>13</v>
      </c>
      <c r="B693" s="94" t="s">
        <v>694</v>
      </c>
      <c r="C693" s="95">
        <v>2022</v>
      </c>
      <c r="D693" s="96">
        <v>0.4</v>
      </c>
      <c r="E693" s="96"/>
      <c r="F693" s="97">
        <v>15</v>
      </c>
      <c r="G693" s="106">
        <v>25.397849999999998</v>
      </c>
      <c r="H693" s="147"/>
    </row>
    <row r="694" spans="1:8" x14ac:dyDescent="0.25">
      <c r="A694" s="105" t="s">
        <v>13</v>
      </c>
      <c r="B694" s="94" t="s">
        <v>695</v>
      </c>
      <c r="C694" s="95">
        <v>2022</v>
      </c>
      <c r="D694" s="96">
        <v>0.4</v>
      </c>
      <c r="E694" s="96"/>
      <c r="F694" s="97">
        <v>15</v>
      </c>
      <c r="G694" s="106">
        <v>25.313549999999999</v>
      </c>
      <c r="H694" s="147"/>
    </row>
    <row r="695" spans="1:8" x14ac:dyDescent="0.25">
      <c r="A695" s="105" t="s">
        <v>13</v>
      </c>
      <c r="B695" s="94" t="s">
        <v>52</v>
      </c>
      <c r="C695" s="95">
        <v>2022</v>
      </c>
      <c r="D695" s="96">
        <v>0.4</v>
      </c>
      <c r="E695" s="96"/>
      <c r="F695" s="97">
        <v>15</v>
      </c>
      <c r="G695" s="106">
        <v>26.65014</v>
      </c>
      <c r="H695" s="147"/>
    </row>
    <row r="696" spans="1:8" x14ac:dyDescent="0.25">
      <c r="A696" s="105" t="s">
        <v>13</v>
      </c>
      <c r="B696" s="94" t="s">
        <v>696</v>
      </c>
      <c r="C696" s="95">
        <v>2022</v>
      </c>
      <c r="D696" s="96">
        <v>0.4</v>
      </c>
      <c r="E696" s="96"/>
      <c r="F696" s="97">
        <v>15</v>
      </c>
      <c r="G696" s="106">
        <v>14.702780000000001</v>
      </c>
      <c r="H696" s="147"/>
    </row>
    <row r="697" spans="1:8" x14ac:dyDescent="0.25">
      <c r="A697" s="105" t="s">
        <v>13</v>
      </c>
      <c r="B697" s="94" t="s">
        <v>690</v>
      </c>
      <c r="C697" s="95">
        <v>2022</v>
      </c>
      <c r="D697" s="96">
        <v>0.4</v>
      </c>
      <c r="E697" s="96"/>
      <c r="F697" s="97">
        <v>10</v>
      </c>
      <c r="G697" s="106">
        <v>25.029160000000001</v>
      </c>
      <c r="H697" s="147"/>
    </row>
    <row r="698" spans="1:8" x14ac:dyDescent="0.25">
      <c r="A698" s="105" t="s">
        <v>13</v>
      </c>
      <c r="B698" s="94" t="s">
        <v>51</v>
      </c>
      <c r="C698" s="95">
        <v>2022</v>
      </c>
      <c r="D698" s="96">
        <v>0.4</v>
      </c>
      <c r="E698" s="96"/>
      <c r="F698" s="97">
        <v>15</v>
      </c>
      <c r="G698" s="106">
        <v>25.818349999999999</v>
      </c>
      <c r="H698" s="147"/>
    </row>
    <row r="699" spans="1:8" x14ac:dyDescent="0.25">
      <c r="A699" s="105" t="s">
        <v>5</v>
      </c>
      <c r="B699" s="94" t="s">
        <v>50</v>
      </c>
      <c r="C699" s="95">
        <v>2022</v>
      </c>
      <c r="D699" s="96">
        <v>0.4</v>
      </c>
      <c r="E699" s="96"/>
      <c r="F699" s="97">
        <v>5</v>
      </c>
      <c r="G699" s="98">
        <v>15.82634</v>
      </c>
      <c r="H699" s="147"/>
    </row>
    <row r="700" spans="1:8" x14ac:dyDescent="0.25">
      <c r="A700" s="105" t="s">
        <v>13</v>
      </c>
      <c r="B700" s="94" t="s">
        <v>49</v>
      </c>
      <c r="C700" s="95">
        <v>2022</v>
      </c>
      <c r="D700" s="96">
        <v>0.4</v>
      </c>
      <c r="E700" s="96"/>
      <c r="F700" s="97">
        <v>15</v>
      </c>
      <c r="G700" s="106">
        <v>27.32648</v>
      </c>
      <c r="H700" s="147"/>
    </row>
    <row r="701" spans="1:8" x14ac:dyDescent="0.25">
      <c r="A701" s="105" t="s">
        <v>13</v>
      </c>
      <c r="B701" s="94" t="s">
        <v>572</v>
      </c>
      <c r="C701" s="95">
        <v>2022</v>
      </c>
      <c r="D701" s="96">
        <v>0.4</v>
      </c>
      <c r="E701" s="96"/>
      <c r="F701" s="97">
        <v>15</v>
      </c>
      <c r="G701" s="106">
        <v>25.50385</v>
      </c>
      <c r="H701" s="147"/>
    </row>
    <row r="702" spans="1:8" x14ac:dyDescent="0.25">
      <c r="A702" s="105" t="s">
        <v>13</v>
      </c>
      <c r="B702" s="94" t="s">
        <v>48</v>
      </c>
      <c r="C702" s="95">
        <v>2022</v>
      </c>
      <c r="D702" s="96">
        <v>0.4</v>
      </c>
      <c r="E702" s="96"/>
      <c r="F702" s="97">
        <v>15</v>
      </c>
      <c r="G702" s="106">
        <v>25.503820000000001</v>
      </c>
      <c r="H702" s="147"/>
    </row>
    <row r="703" spans="1:8" x14ac:dyDescent="0.25">
      <c r="A703" s="105" t="s">
        <v>5</v>
      </c>
      <c r="B703" s="94" t="s">
        <v>47</v>
      </c>
      <c r="C703" s="95">
        <v>2022</v>
      </c>
      <c r="D703" s="96">
        <v>0.4</v>
      </c>
      <c r="E703" s="96"/>
      <c r="F703" s="97">
        <v>5</v>
      </c>
      <c r="G703" s="98">
        <v>15.82385</v>
      </c>
      <c r="H703" s="147"/>
    </row>
    <row r="704" spans="1:8" x14ac:dyDescent="0.25">
      <c r="A704" s="105" t="s">
        <v>13</v>
      </c>
      <c r="B704" s="94" t="s">
        <v>46</v>
      </c>
      <c r="C704" s="95">
        <v>2022</v>
      </c>
      <c r="D704" s="96">
        <v>0.4</v>
      </c>
      <c r="E704" s="96"/>
      <c r="F704" s="97">
        <v>15</v>
      </c>
      <c r="G704" s="106">
        <v>25.337630000000001</v>
      </c>
      <c r="H704" s="147"/>
    </row>
    <row r="705" spans="1:8" x14ac:dyDescent="0.25">
      <c r="A705" s="105" t="s">
        <v>13</v>
      </c>
      <c r="B705" s="94" t="s">
        <v>46</v>
      </c>
      <c r="C705" s="95">
        <v>2022</v>
      </c>
      <c r="D705" s="96">
        <v>0.4</v>
      </c>
      <c r="E705" s="96"/>
      <c r="F705" s="97">
        <v>15</v>
      </c>
      <c r="G705" s="106">
        <v>25.33765</v>
      </c>
      <c r="H705" s="147"/>
    </row>
    <row r="706" spans="1:8" x14ac:dyDescent="0.25">
      <c r="A706" s="105" t="s">
        <v>13</v>
      </c>
      <c r="B706" s="94" t="s">
        <v>45</v>
      </c>
      <c r="C706" s="95">
        <v>2022</v>
      </c>
      <c r="D706" s="96">
        <v>0.4</v>
      </c>
      <c r="E706" s="96"/>
      <c r="F706" s="97">
        <v>15</v>
      </c>
      <c r="G706" s="106">
        <v>25.377839999999999</v>
      </c>
      <c r="H706" s="147"/>
    </row>
    <row r="707" spans="1:8" x14ac:dyDescent="0.25">
      <c r="A707" s="105" t="s">
        <v>13</v>
      </c>
      <c r="B707" s="94" t="s">
        <v>697</v>
      </c>
      <c r="C707" s="95">
        <v>2022</v>
      </c>
      <c r="D707" s="96">
        <v>0.4</v>
      </c>
      <c r="E707" s="96"/>
      <c r="F707" s="97">
        <v>15</v>
      </c>
      <c r="G707" s="106">
        <v>28.080500000000001</v>
      </c>
      <c r="H707" s="147"/>
    </row>
    <row r="708" spans="1:8" x14ac:dyDescent="0.25">
      <c r="A708" s="105" t="s">
        <v>5</v>
      </c>
      <c r="B708" s="94" t="s">
        <v>44</v>
      </c>
      <c r="C708" s="95">
        <v>2022</v>
      </c>
      <c r="D708" s="96">
        <v>0.4</v>
      </c>
      <c r="E708" s="96"/>
      <c r="F708" s="97">
        <v>5</v>
      </c>
      <c r="G708" s="98">
        <v>13.210120000000002</v>
      </c>
      <c r="H708" s="147"/>
    </row>
    <row r="709" spans="1:8" x14ac:dyDescent="0.25">
      <c r="A709" s="105" t="s">
        <v>5</v>
      </c>
      <c r="B709" s="94" t="s">
        <v>43</v>
      </c>
      <c r="C709" s="95">
        <v>2022</v>
      </c>
      <c r="D709" s="96">
        <v>0.4</v>
      </c>
      <c r="E709" s="96"/>
      <c r="F709" s="97">
        <v>5</v>
      </c>
      <c r="G709" s="98">
        <v>12.774430000000001</v>
      </c>
      <c r="H709" s="147"/>
    </row>
    <row r="710" spans="1:8" x14ac:dyDescent="0.25">
      <c r="A710" s="105" t="s">
        <v>5</v>
      </c>
      <c r="B710" s="94" t="s">
        <v>42</v>
      </c>
      <c r="C710" s="95">
        <v>2022</v>
      </c>
      <c r="D710" s="96">
        <v>0.4</v>
      </c>
      <c r="E710" s="96"/>
      <c r="F710" s="97">
        <v>5</v>
      </c>
      <c r="G710" s="98">
        <v>27.432770000000001</v>
      </c>
      <c r="H710" s="147"/>
    </row>
    <row r="711" spans="1:8" x14ac:dyDescent="0.25">
      <c r="A711" s="105" t="s">
        <v>13</v>
      </c>
      <c r="B711" s="94" t="s">
        <v>41</v>
      </c>
      <c r="C711" s="95">
        <v>2022</v>
      </c>
      <c r="D711" s="96">
        <v>0.4</v>
      </c>
      <c r="E711" s="96"/>
      <c r="F711" s="97">
        <v>15</v>
      </c>
      <c r="G711" s="106">
        <v>28.004669999999997</v>
      </c>
      <c r="H711" s="147"/>
    </row>
    <row r="712" spans="1:8" x14ac:dyDescent="0.25">
      <c r="A712" s="105" t="s">
        <v>13</v>
      </c>
      <c r="B712" s="94" t="s">
        <v>698</v>
      </c>
      <c r="C712" s="95">
        <v>2022</v>
      </c>
      <c r="D712" s="96">
        <v>0.4</v>
      </c>
      <c r="E712" s="96"/>
      <c r="F712" s="97">
        <v>15</v>
      </c>
      <c r="G712" s="106">
        <v>25.432849999999998</v>
      </c>
      <c r="H712" s="147"/>
    </row>
    <row r="713" spans="1:8" x14ac:dyDescent="0.25">
      <c r="A713" s="105" t="s">
        <v>13</v>
      </c>
      <c r="B713" s="94" t="s">
        <v>699</v>
      </c>
      <c r="C713" s="95">
        <v>2022</v>
      </c>
      <c r="D713" s="96">
        <v>0.4</v>
      </c>
      <c r="E713" s="96"/>
      <c r="F713" s="97">
        <v>15</v>
      </c>
      <c r="G713" s="106">
        <v>25.791180000000001</v>
      </c>
      <c r="H713" s="147"/>
    </row>
    <row r="714" spans="1:8" x14ac:dyDescent="0.25">
      <c r="A714" s="105" t="s">
        <v>13</v>
      </c>
      <c r="B714" s="94" t="s">
        <v>40</v>
      </c>
      <c r="C714" s="95">
        <v>2022</v>
      </c>
      <c r="D714" s="96">
        <v>0.4</v>
      </c>
      <c r="E714" s="96"/>
      <c r="F714" s="97">
        <v>15</v>
      </c>
      <c r="G714" s="106">
        <v>25.705380000000002</v>
      </c>
      <c r="H714" s="147"/>
    </row>
    <row r="715" spans="1:8" x14ac:dyDescent="0.25">
      <c r="A715" s="105" t="s">
        <v>13</v>
      </c>
      <c r="B715" s="94" t="s">
        <v>39</v>
      </c>
      <c r="C715" s="95">
        <v>2022</v>
      </c>
      <c r="D715" s="96">
        <v>0.4</v>
      </c>
      <c r="E715" s="96"/>
      <c r="F715" s="97">
        <v>15</v>
      </c>
      <c r="G715" s="106">
        <v>20.082319999999999</v>
      </c>
      <c r="H715" s="147"/>
    </row>
    <row r="716" spans="1:8" x14ac:dyDescent="0.25">
      <c r="A716" s="105" t="s">
        <v>13</v>
      </c>
      <c r="B716" s="94" t="s">
        <v>38</v>
      </c>
      <c r="C716" s="95">
        <v>2022</v>
      </c>
      <c r="D716" s="96">
        <v>0.4</v>
      </c>
      <c r="E716" s="96"/>
      <c r="F716" s="97">
        <v>15</v>
      </c>
      <c r="G716" s="106">
        <v>25.449310000000001</v>
      </c>
      <c r="H716" s="147"/>
    </row>
    <row r="717" spans="1:8" x14ac:dyDescent="0.25">
      <c r="A717" s="105" t="s">
        <v>13</v>
      </c>
      <c r="B717" s="94" t="s">
        <v>37</v>
      </c>
      <c r="C717" s="95">
        <v>2022</v>
      </c>
      <c r="D717" s="96">
        <v>0.4</v>
      </c>
      <c r="E717" s="96"/>
      <c r="F717" s="97">
        <v>15</v>
      </c>
      <c r="G717" s="106">
        <v>25.621189999999999</v>
      </c>
      <c r="H717" s="147"/>
    </row>
    <row r="718" spans="1:8" x14ac:dyDescent="0.25">
      <c r="A718" s="105" t="s">
        <v>13</v>
      </c>
      <c r="B718" s="94" t="s">
        <v>36</v>
      </c>
      <c r="C718" s="95">
        <v>2022</v>
      </c>
      <c r="D718" s="96">
        <v>0.4</v>
      </c>
      <c r="E718" s="96"/>
      <c r="F718" s="97">
        <v>15</v>
      </c>
      <c r="G718" s="106">
        <v>25.377839999999999</v>
      </c>
      <c r="H718" s="147"/>
    </row>
    <row r="719" spans="1:8" x14ac:dyDescent="0.25">
      <c r="A719" s="105" t="s">
        <v>5</v>
      </c>
      <c r="B719" s="94" t="s">
        <v>700</v>
      </c>
      <c r="C719" s="95">
        <v>2022</v>
      </c>
      <c r="D719" s="96">
        <v>0.4</v>
      </c>
      <c r="E719" s="96"/>
      <c r="F719" s="97">
        <v>5</v>
      </c>
      <c r="G719" s="98">
        <v>13.230259999999999</v>
      </c>
      <c r="H719" s="147"/>
    </row>
    <row r="720" spans="1:8" x14ac:dyDescent="0.25">
      <c r="A720" s="105" t="s">
        <v>13</v>
      </c>
      <c r="B720" s="94" t="s">
        <v>35</v>
      </c>
      <c r="C720" s="95">
        <v>2022</v>
      </c>
      <c r="D720" s="96">
        <v>0.4</v>
      </c>
      <c r="E720" s="96"/>
      <c r="F720" s="97">
        <v>15</v>
      </c>
      <c r="G720" s="106">
        <v>25.599630000000001</v>
      </c>
      <c r="H720" s="147"/>
    </row>
    <row r="721" spans="1:8" x14ac:dyDescent="0.25">
      <c r="A721" s="105" t="s">
        <v>13</v>
      </c>
      <c r="B721" s="94" t="s">
        <v>34</v>
      </c>
      <c r="C721" s="95">
        <v>2022</v>
      </c>
      <c r="D721" s="96">
        <v>0.4</v>
      </c>
      <c r="E721" s="96"/>
      <c r="F721" s="97">
        <v>15</v>
      </c>
      <c r="G721" s="106">
        <v>46.501300000000001</v>
      </c>
      <c r="H721" s="147"/>
    </row>
    <row r="722" spans="1:8" x14ac:dyDescent="0.25">
      <c r="A722" s="105" t="s">
        <v>13</v>
      </c>
      <c r="B722" s="94" t="s">
        <v>33</v>
      </c>
      <c r="C722" s="95">
        <v>2022</v>
      </c>
      <c r="D722" s="96">
        <v>0.4</v>
      </c>
      <c r="E722" s="96"/>
      <c r="F722" s="97">
        <v>15</v>
      </c>
      <c r="G722" s="106">
        <v>25.294160000000002</v>
      </c>
      <c r="H722" s="147"/>
    </row>
    <row r="723" spans="1:8" x14ac:dyDescent="0.25">
      <c r="A723" s="105" t="s">
        <v>5</v>
      </c>
      <c r="B723" s="94" t="s">
        <v>701</v>
      </c>
      <c r="C723" s="95">
        <v>2022</v>
      </c>
      <c r="D723" s="96">
        <v>0.4</v>
      </c>
      <c r="E723" s="96"/>
      <c r="F723" s="97">
        <v>5</v>
      </c>
      <c r="G723" s="98">
        <v>13.10492</v>
      </c>
      <c r="H723" s="147"/>
    </row>
    <row r="724" spans="1:8" x14ac:dyDescent="0.25">
      <c r="A724" s="105" t="s">
        <v>13</v>
      </c>
      <c r="B724" s="94" t="s">
        <v>569</v>
      </c>
      <c r="C724" s="95">
        <v>2022</v>
      </c>
      <c r="D724" s="96">
        <v>0.4</v>
      </c>
      <c r="E724" s="96"/>
      <c r="F724" s="97">
        <v>15</v>
      </c>
      <c r="G724" s="106">
        <v>46.292970000000004</v>
      </c>
      <c r="H724" s="147"/>
    </row>
    <row r="725" spans="1:8" x14ac:dyDescent="0.25">
      <c r="A725" s="105" t="s">
        <v>13</v>
      </c>
      <c r="B725" s="94" t="s">
        <v>32</v>
      </c>
      <c r="C725" s="95">
        <v>2022</v>
      </c>
      <c r="D725" s="96">
        <v>0.4</v>
      </c>
      <c r="E725" s="96"/>
      <c r="F725" s="97">
        <v>15</v>
      </c>
      <c r="G725" s="106">
        <v>25.11084</v>
      </c>
      <c r="H725" s="147"/>
    </row>
    <row r="726" spans="1:8" x14ac:dyDescent="0.25">
      <c r="A726" s="105" t="s">
        <v>13</v>
      </c>
      <c r="B726" s="94" t="s">
        <v>31</v>
      </c>
      <c r="C726" s="95">
        <v>2022</v>
      </c>
      <c r="D726" s="96">
        <v>0.4</v>
      </c>
      <c r="E726" s="96"/>
      <c r="F726" s="97">
        <v>15</v>
      </c>
      <c r="G726" s="106">
        <v>25.602509999999999</v>
      </c>
      <c r="H726" s="147"/>
    </row>
    <row r="727" spans="1:8" x14ac:dyDescent="0.25">
      <c r="A727" s="105" t="s">
        <v>13</v>
      </c>
      <c r="B727" s="94" t="s">
        <v>30</v>
      </c>
      <c r="C727" s="95">
        <v>2022</v>
      </c>
      <c r="D727" s="96">
        <v>0.4</v>
      </c>
      <c r="E727" s="96"/>
      <c r="F727" s="97">
        <v>15</v>
      </c>
      <c r="G727" s="106">
        <v>25.384520000000002</v>
      </c>
      <c r="H727" s="147"/>
    </row>
    <row r="728" spans="1:8" x14ac:dyDescent="0.25">
      <c r="A728" s="105" t="s">
        <v>13</v>
      </c>
      <c r="B728" s="94" t="s">
        <v>29</v>
      </c>
      <c r="C728" s="95">
        <v>2022</v>
      </c>
      <c r="D728" s="96">
        <v>0.4</v>
      </c>
      <c r="E728" s="96"/>
      <c r="F728" s="97">
        <v>15</v>
      </c>
      <c r="G728" s="106">
        <v>10.72207</v>
      </c>
      <c r="H728" s="147"/>
    </row>
    <row r="729" spans="1:8" x14ac:dyDescent="0.25">
      <c r="A729" s="105" t="s">
        <v>13</v>
      </c>
      <c r="B729" s="94" t="s">
        <v>702</v>
      </c>
      <c r="C729" s="95">
        <v>2022</v>
      </c>
      <c r="D729" s="96">
        <v>0.4</v>
      </c>
      <c r="E729" s="96"/>
      <c r="F729" s="97">
        <v>15</v>
      </c>
      <c r="G729" s="106">
        <v>29.455929999999999</v>
      </c>
      <c r="H729" s="147"/>
    </row>
    <row r="730" spans="1:8" x14ac:dyDescent="0.25">
      <c r="A730" s="105" t="s">
        <v>13</v>
      </c>
      <c r="B730" s="94" t="s">
        <v>702</v>
      </c>
      <c r="C730" s="95">
        <v>2022</v>
      </c>
      <c r="D730" s="96">
        <v>0.4</v>
      </c>
      <c r="E730" s="96"/>
      <c r="F730" s="97">
        <v>15</v>
      </c>
      <c r="G730" s="106">
        <v>28.872199999999999</v>
      </c>
      <c r="H730" s="147"/>
    </row>
    <row r="731" spans="1:8" x14ac:dyDescent="0.25">
      <c r="A731" s="105" t="s">
        <v>13</v>
      </c>
      <c r="B731" s="94" t="s">
        <v>28</v>
      </c>
      <c r="C731" s="95">
        <v>2022</v>
      </c>
      <c r="D731" s="96">
        <v>0.4</v>
      </c>
      <c r="E731" s="96"/>
      <c r="F731" s="97">
        <v>15</v>
      </c>
      <c r="G731" s="106">
        <v>25.602499999999999</v>
      </c>
      <c r="H731" s="147"/>
    </row>
    <row r="732" spans="1:8" x14ac:dyDescent="0.25">
      <c r="A732" s="105" t="s">
        <v>5</v>
      </c>
      <c r="B732" s="94" t="s">
        <v>27</v>
      </c>
      <c r="C732" s="95">
        <v>2022</v>
      </c>
      <c r="D732" s="96">
        <v>0.4</v>
      </c>
      <c r="E732" s="96"/>
      <c r="F732" s="97">
        <v>5</v>
      </c>
      <c r="G732" s="98">
        <v>12.805260000000001</v>
      </c>
      <c r="H732" s="147"/>
    </row>
    <row r="733" spans="1:8" x14ac:dyDescent="0.25">
      <c r="A733" s="105" t="s">
        <v>5</v>
      </c>
      <c r="B733" s="94" t="s">
        <v>26</v>
      </c>
      <c r="C733" s="95">
        <v>2022</v>
      </c>
      <c r="D733" s="96">
        <v>0.4</v>
      </c>
      <c r="E733" s="96"/>
      <c r="F733" s="97">
        <v>5</v>
      </c>
      <c r="G733" s="98">
        <v>25.432839999999999</v>
      </c>
      <c r="H733" s="147"/>
    </row>
    <row r="734" spans="1:8" x14ac:dyDescent="0.25">
      <c r="A734" s="105" t="s">
        <v>13</v>
      </c>
      <c r="B734" s="94" t="s">
        <v>25</v>
      </c>
      <c r="C734" s="95">
        <v>2022</v>
      </c>
      <c r="D734" s="96">
        <v>0.4</v>
      </c>
      <c r="E734" s="96"/>
      <c r="F734" s="97">
        <v>15</v>
      </c>
      <c r="G734" s="106">
        <v>29.056990000000003</v>
      </c>
      <c r="H734" s="147"/>
    </row>
    <row r="735" spans="1:8" x14ac:dyDescent="0.25">
      <c r="A735" s="105" t="s">
        <v>13</v>
      </c>
      <c r="B735" s="94" t="s">
        <v>24</v>
      </c>
      <c r="C735" s="95">
        <v>2022</v>
      </c>
      <c r="D735" s="96">
        <v>0.4</v>
      </c>
      <c r="E735" s="96"/>
      <c r="F735" s="97">
        <v>15</v>
      </c>
      <c r="G735" s="106">
        <v>25.50431</v>
      </c>
      <c r="H735" s="147"/>
    </row>
    <row r="736" spans="1:8" x14ac:dyDescent="0.25">
      <c r="A736" s="105" t="s">
        <v>13</v>
      </c>
      <c r="B736" s="94" t="s">
        <v>23</v>
      </c>
      <c r="C736" s="95">
        <v>2022</v>
      </c>
      <c r="D736" s="96">
        <v>0.4</v>
      </c>
      <c r="E736" s="96"/>
      <c r="F736" s="97">
        <v>15</v>
      </c>
      <c r="G736" s="106">
        <v>26.10548</v>
      </c>
      <c r="H736" s="147"/>
    </row>
    <row r="737" spans="1:8" x14ac:dyDescent="0.25">
      <c r="A737" s="105" t="s">
        <v>5</v>
      </c>
      <c r="B737" s="94" t="s">
        <v>63</v>
      </c>
      <c r="C737" s="95">
        <v>2022</v>
      </c>
      <c r="D737" s="96">
        <v>0.4</v>
      </c>
      <c r="E737" s="96"/>
      <c r="F737" s="97">
        <v>5</v>
      </c>
      <c r="G737" s="98">
        <v>13.15236</v>
      </c>
      <c r="H737" s="147"/>
    </row>
    <row r="738" spans="1:8" x14ac:dyDescent="0.25">
      <c r="A738" s="105" t="s">
        <v>13</v>
      </c>
      <c r="B738" s="94" t="s">
        <v>22</v>
      </c>
      <c r="C738" s="95">
        <v>2022</v>
      </c>
      <c r="D738" s="96">
        <v>0.4</v>
      </c>
      <c r="E738" s="96"/>
      <c r="F738" s="97">
        <v>15</v>
      </c>
      <c r="G738" s="106">
        <v>25.431660000000001</v>
      </c>
      <c r="H738" s="147"/>
    </row>
    <row r="739" spans="1:8" x14ac:dyDescent="0.25">
      <c r="A739" s="105" t="s">
        <v>13</v>
      </c>
      <c r="B739" s="94" t="s">
        <v>21</v>
      </c>
      <c r="C739" s="95">
        <v>2022</v>
      </c>
      <c r="D739" s="96">
        <v>0.4</v>
      </c>
      <c r="E739" s="96"/>
      <c r="F739" s="97">
        <v>15</v>
      </c>
      <c r="G739" s="106">
        <v>25.291810000000002</v>
      </c>
      <c r="H739" s="147"/>
    </row>
    <row r="740" spans="1:8" x14ac:dyDescent="0.25">
      <c r="A740" s="105" t="s">
        <v>13</v>
      </c>
      <c r="B740" s="94" t="s">
        <v>20</v>
      </c>
      <c r="C740" s="95">
        <v>2022</v>
      </c>
      <c r="D740" s="96">
        <v>0.4</v>
      </c>
      <c r="E740" s="96"/>
      <c r="F740" s="97">
        <v>15</v>
      </c>
      <c r="G740" s="106">
        <v>25.422840000000001</v>
      </c>
      <c r="H740" s="147"/>
    </row>
    <row r="741" spans="1:8" x14ac:dyDescent="0.25">
      <c r="A741" s="105" t="s">
        <v>13</v>
      </c>
      <c r="B741" s="94" t="s">
        <v>19</v>
      </c>
      <c r="C741" s="95">
        <v>2022</v>
      </c>
      <c r="D741" s="96">
        <v>0.4</v>
      </c>
      <c r="E741" s="96"/>
      <c r="F741" s="97">
        <v>15</v>
      </c>
      <c r="G741" s="106">
        <v>25.299520000000001</v>
      </c>
      <c r="H741" s="147"/>
    </row>
    <row r="742" spans="1:8" x14ac:dyDescent="0.25">
      <c r="A742" s="105" t="s">
        <v>13</v>
      </c>
      <c r="B742" s="94" t="s">
        <v>18</v>
      </c>
      <c r="C742" s="95">
        <v>2022</v>
      </c>
      <c r="D742" s="96">
        <v>0.4</v>
      </c>
      <c r="E742" s="96"/>
      <c r="F742" s="97">
        <v>15</v>
      </c>
      <c r="G742" s="106">
        <v>25.672840000000001</v>
      </c>
      <c r="H742" s="147"/>
    </row>
    <row r="743" spans="1:8" x14ac:dyDescent="0.25">
      <c r="A743" s="105" t="s">
        <v>13</v>
      </c>
      <c r="B743" s="94" t="s">
        <v>17</v>
      </c>
      <c r="C743" s="95">
        <v>2022</v>
      </c>
      <c r="D743" s="96">
        <v>0.4</v>
      </c>
      <c r="E743" s="96"/>
      <c r="F743" s="97">
        <v>15</v>
      </c>
      <c r="G743" s="106">
        <v>12.679919999999999</v>
      </c>
      <c r="H743" s="147"/>
    </row>
    <row r="744" spans="1:8" x14ac:dyDescent="0.25">
      <c r="A744" s="105" t="s">
        <v>13</v>
      </c>
      <c r="B744" s="94" t="s">
        <v>16</v>
      </c>
      <c r="C744" s="95">
        <v>2022</v>
      </c>
      <c r="D744" s="96">
        <v>0.4</v>
      </c>
      <c r="E744" s="96"/>
      <c r="F744" s="97">
        <v>15</v>
      </c>
      <c r="G744" s="106">
        <v>25.337630000000001</v>
      </c>
      <c r="H744" s="147"/>
    </row>
    <row r="745" spans="1:8" x14ac:dyDescent="0.25">
      <c r="A745" s="105" t="s">
        <v>13</v>
      </c>
      <c r="B745" s="94" t="s">
        <v>15</v>
      </c>
      <c r="C745" s="95">
        <v>2022</v>
      </c>
      <c r="D745" s="96">
        <v>0.4</v>
      </c>
      <c r="E745" s="96"/>
      <c r="F745" s="97">
        <v>15</v>
      </c>
      <c r="G745" s="106">
        <v>28.330349999999999</v>
      </c>
      <c r="H745" s="147"/>
    </row>
    <row r="746" spans="1:8" x14ac:dyDescent="0.25">
      <c r="A746" s="105" t="s">
        <v>5</v>
      </c>
      <c r="B746" s="94" t="s">
        <v>14</v>
      </c>
      <c r="C746" s="95">
        <v>2022</v>
      </c>
      <c r="D746" s="96">
        <v>0.4</v>
      </c>
      <c r="E746" s="96"/>
      <c r="F746" s="97">
        <v>5</v>
      </c>
      <c r="G746" s="98">
        <v>16.497970000000002</v>
      </c>
      <c r="H746" s="147"/>
    </row>
    <row r="747" spans="1:8" x14ac:dyDescent="0.25">
      <c r="A747" s="105" t="s">
        <v>5</v>
      </c>
      <c r="B747" s="94" t="s">
        <v>703</v>
      </c>
      <c r="C747" s="95">
        <v>2022</v>
      </c>
      <c r="D747" s="96">
        <v>0.4</v>
      </c>
      <c r="E747" s="96"/>
      <c r="F747" s="97">
        <v>5</v>
      </c>
      <c r="G747" s="98">
        <v>13.09085</v>
      </c>
      <c r="H747" s="147"/>
    </row>
    <row r="748" spans="1:8" x14ac:dyDescent="0.25">
      <c r="A748" s="105" t="s">
        <v>5</v>
      </c>
      <c r="B748" s="94" t="s">
        <v>703</v>
      </c>
      <c r="C748" s="95">
        <v>2022</v>
      </c>
      <c r="D748" s="96">
        <v>0.4</v>
      </c>
      <c r="E748" s="96"/>
      <c r="F748" s="97">
        <v>5</v>
      </c>
      <c r="G748" s="98">
        <v>13.09085</v>
      </c>
      <c r="H748" s="147"/>
    </row>
    <row r="749" spans="1:8" x14ac:dyDescent="0.25">
      <c r="A749" s="105" t="s">
        <v>13</v>
      </c>
      <c r="B749" s="94" t="s">
        <v>12</v>
      </c>
      <c r="C749" s="95">
        <v>2022</v>
      </c>
      <c r="D749" s="96">
        <v>0.4</v>
      </c>
      <c r="E749" s="96"/>
      <c r="F749" s="97">
        <v>15</v>
      </c>
      <c r="G749" s="106">
        <v>28.174669999999999</v>
      </c>
      <c r="H749" s="147"/>
    </row>
    <row r="750" spans="1:8" x14ac:dyDescent="0.25">
      <c r="A750" s="105" t="s">
        <v>5</v>
      </c>
      <c r="B750" s="94" t="s">
        <v>11</v>
      </c>
      <c r="C750" s="95">
        <v>2022</v>
      </c>
      <c r="D750" s="96">
        <v>0.4</v>
      </c>
      <c r="E750" s="96"/>
      <c r="F750" s="97">
        <v>5</v>
      </c>
      <c r="G750" s="98">
        <v>13.01595</v>
      </c>
      <c r="H750" s="147"/>
    </row>
    <row r="751" spans="1:8" x14ac:dyDescent="0.25">
      <c r="A751" s="105" t="s">
        <v>5</v>
      </c>
      <c r="B751" s="94" t="s">
        <v>689</v>
      </c>
      <c r="C751" s="95">
        <v>2022</v>
      </c>
      <c r="D751" s="96">
        <v>0.4</v>
      </c>
      <c r="E751" s="96"/>
      <c r="F751" s="97">
        <v>5</v>
      </c>
      <c r="G751" s="98">
        <v>13.39841</v>
      </c>
      <c r="H751" s="147"/>
    </row>
    <row r="752" spans="1:8" x14ac:dyDescent="0.25">
      <c r="A752" s="105" t="s">
        <v>5</v>
      </c>
      <c r="B752" s="94" t="s">
        <v>338</v>
      </c>
      <c r="C752" s="95">
        <v>2022</v>
      </c>
      <c r="D752" s="96">
        <v>0.4</v>
      </c>
      <c r="E752" s="96"/>
      <c r="F752" s="97">
        <v>5</v>
      </c>
      <c r="G752" s="98">
        <v>27.507020000000001</v>
      </c>
      <c r="H752" s="147"/>
    </row>
    <row r="753" spans="1:8" x14ac:dyDescent="0.25">
      <c r="A753" s="105" t="s">
        <v>13</v>
      </c>
      <c r="B753" s="94" t="s">
        <v>704</v>
      </c>
      <c r="C753" s="95">
        <v>2022</v>
      </c>
      <c r="D753" s="96">
        <v>0.4</v>
      </c>
      <c r="E753" s="96"/>
      <c r="F753" s="97">
        <v>14</v>
      </c>
      <c r="G753" s="106">
        <v>27.25066</v>
      </c>
      <c r="H753" s="147"/>
    </row>
    <row r="754" spans="1:8" x14ac:dyDescent="0.25">
      <c r="A754" s="105" t="s">
        <v>13</v>
      </c>
      <c r="B754" s="94" t="s">
        <v>395</v>
      </c>
      <c r="C754" s="95">
        <v>2022</v>
      </c>
      <c r="D754" s="96">
        <v>0.4</v>
      </c>
      <c r="E754" s="96"/>
      <c r="F754" s="97">
        <v>15</v>
      </c>
      <c r="G754" s="106">
        <v>8.4575800000000001</v>
      </c>
      <c r="H754" s="147"/>
    </row>
    <row r="755" spans="1:8" x14ac:dyDescent="0.25">
      <c r="A755" s="105" t="s">
        <v>5</v>
      </c>
      <c r="B755" s="94" t="s">
        <v>10</v>
      </c>
      <c r="C755" s="95">
        <v>2022</v>
      </c>
      <c r="D755" s="96">
        <v>0.4</v>
      </c>
      <c r="E755" s="96"/>
      <c r="F755" s="97">
        <v>5</v>
      </c>
      <c r="G755" s="98">
        <v>6.1163500000000006</v>
      </c>
      <c r="H755" s="147"/>
    </row>
    <row r="756" spans="1:8" x14ac:dyDescent="0.25">
      <c r="A756" s="105" t="s">
        <v>13</v>
      </c>
      <c r="B756" s="94" t="s">
        <v>705</v>
      </c>
      <c r="C756" s="95">
        <v>2022</v>
      </c>
      <c r="D756" s="96">
        <v>0.4</v>
      </c>
      <c r="E756" s="96"/>
      <c r="F756" s="97">
        <v>15</v>
      </c>
      <c r="G756" s="106">
        <v>29.260770000000001</v>
      </c>
      <c r="H756" s="147"/>
    </row>
    <row r="757" spans="1:8" x14ac:dyDescent="0.25">
      <c r="A757" s="105" t="s">
        <v>13</v>
      </c>
      <c r="B757" s="94" t="s">
        <v>706</v>
      </c>
      <c r="C757" s="95">
        <v>2022</v>
      </c>
      <c r="D757" s="96">
        <v>0.4</v>
      </c>
      <c r="E757" s="96"/>
      <c r="F757" s="97">
        <v>15</v>
      </c>
      <c r="G757" s="106">
        <v>11.18492</v>
      </c>
      <c r="H757" s="147"/>
    </row>
    <row r="758" spans="1:8" x14ac:dyDescent="0.25">
      <c r="A758" s="105" t="s">
        <v>13</v>
      </c>
      <c r="B758" s="94" t="s">
        <v>8</v>
      </c>
      <c r="C758" s="95">
        <v>2022</v>
      </c>
      <c r="D758" s="96">
        <v>0.4</v>
      </c>
      <c r="E758" s="96"/>
      <c r="F758" s="97">
        <v>15</v>
      </c>
      <c r="G758" s="106">
        <v>12.36669</v>
      </c>
      <c r="H758" s="147"/>
    </row>
    <row r="759" spans="1:8" x14ac:dyDescent="0.25">
      <c r="A759" s="105" t="s">
        <v>5</v>
      </c>
      <c r="B759" s="94" t="s">
        <v>7</v>
      </c>
      <c r="C759" s="95">
        <v>2022</v>
      </c>
      <c r="D759" s="96">
        <v>0.4</v>
      </c>
      <c r="E759" s="96"/>
      <c r="F759" s="97">
        <v>5</v>
      </c>
      <c r="G759" s="98">
        <v>12.332610000000001</v>
      </c>
      <c r="H759" s="147"/>
    </row>
    <row r="760" spans="1:8" x14ac:dyDescent="0.25">
      <c r="A760" s="105" t="s">
        <v>5</v>
      </c>
      <c r="B760" s="94" t="s">
        <v>6</v>
      </c>
      <c r="C760" s="95">
        <v>2022</v>
      </c>
      <c r="D760" s="96">
        <v>0.4</v>
      </c>
      <c r="E760" s="96"/>
      <c r="F760" s="97">
        <v>5</v>
      </c>
      <c r="G760" s="98">
        <v>6.0021499999999994</v>
      </c>
      <c r="H760" s="147"/>
    </row>
    <row r="761" spans="1:8" ht="16.5" thickBot="1" x14ac:dyDescent="0.3">
      <c r="A761" s="112" t="s">
        <v>5</v>
      </c>
      <c r="B761" s="113" t="s">
        <v>4</v>
      </c>
      <c r="C761" s="114">
        <v>2022</v>
      </c>
      <c r="D761" s="115">
        <v>0.4</v>
      </c>
      <c r="E761" s="115"/>
      <c r="F761" s="116">
        <v>5</v>
      </c>
      <c r="G761" s="117">
        <v>15.31967</v>
      </c>
      <c r="H761" s="147"/>
    </row>
    <row r="762" spans="1:8" x14ac:dyDescent="0.25">
      <c r="A762" s="12"/>
      <c r="B762" s="14"/>
      <c r="C762" s="12"/>
      <c r="D762" s="12"/>
      <c r="E762" s="13"/>
      <c r="F762" s="12"/>
      <c r="G762" s="11"/>
    </row>
    <row r="763" spans="1:8" x14ac:dyDescent="0.25">
      <c r="A763" s="12"/>
      <c r="B763" s="14"/>
      <c r="C763" s="12"/>
      <c r="D763" s="12"/>
      <c r="E763" s="13"/>
      <c r="F763" s="12"/>
      <c r="G763" s="11"/>
    </row>
    <row r="768" spans="1:8" ht="15.6" customHeight="1" x14ac:dyDescent="0.25">
      <c r="A768" s="326" t="s">
        <v>3</v>
      </c>
      <c r="B768" s="326"/>
      <c r="C768" s="326"/>
      <c r="D768" s="8"/>
      <c r="E768" s="7"/>
      <c r="F768" s="6" t="s">
        <v>2</v>
      </c>
    </row>
    <row r="769" spans="1:6" x14ac:dyDescent="0.25">
      <c r="A769" s="10"/>
      <c r="B769" s="9"/>
      <c r="C769" s="8"/>
      <c r="D769" s="8"/>
      <c r="E769" s="7"/>
      <c r="F769" s="8"/>
    </row>
    <row r="770" spans="1:6" ht="15.6" customHeight="1" x14ac:dyDescent="0.25">
      <c r="A770" s="326" t="s">
        <v>1</v>
      </c>
      <c r="B770" s="326"/>
      <c r="C770" s="326"/>
      <c r="D770" s="8"/>
      <c r="E770" s="7"/>
      <c r="F770" s="6" t="s">
        <v>0</v>
      </c>
    </row>
  </sheetData>
  <autoFilter ref="A5:G761" xr:uid="{00000000-0009-0000-0000-000001000000}">
    <filterColumn colId="3">
      <filters>
        <filter val="0,4"/>
      </filters>
    </filterColumn>
  </autoFilter>
  <mergeCells count="35">
    <mergeCell ref="D338:D339"/>
    <mergeCell ref="D341:D342"/>
    <mergeCell ref="E341:E342"/>
    <mergeCell ref="F341:F342"/>
    <mergeCell ref="E338:E339"/>
    <mergeCell ref="F338:F339"/>
    <mergeCell ref="D256:D257"/>
    <mergeCell ref="E256:E257"/>
    <mergeCell ref="F256:F257"/>
    <mergeCell ref="D268:D269"/>
    <mergeCell ref="E268:E269"/>
    <mergeCell ref="F268:F269"/>
    <mergeCell ref="F246:F247"/>
    <mergeCell ref="D248:D249"/>
    <mergeCell ref="E248:E249"/>
    <mergeCell ref="F248:F249"/>
    <mergeCell ref="D250:D253"/>
    <mergeCell ref="E250:E253"/>
    <mergeCell ref="F250:F253"/>
    <mergeCell ref="F1:G1"/>
    <mergeCell ref="A3:G3"/>
    <mergeCell ref="A768:C768"/>
    <mergeCell ref="A770:C770"/>
    <mergeCell ref="D326:D327"/>
    <mergeCell ref="E326:E327"/>
    <mergeCell ref="E73:E75"/>
    <mergeCell ref="F73:F75"/>
    <mergeCell ref="E362:E363"/>
    <mergeCell ref="F362:F363"/>
    <mergeCell ref="E365:E366"/>
    <mergeCell ref="F365:F366"/>
    <mergeCell ref="E367:E369"/>
    <mergeCell ref="F367:F369"/>
    <mergeCell ref="D246:D247"/>
    <mergeCell ref="E246:E247"/>
  </mergeCells>
  <phoneticPr fontId="12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59" fitToHeight="0" orientation="landscape" r:id="rId1"/>
  <rowBreaks count="4" manualBreakCount="4">
    <brk id="51" max="9" man="1"/>
    <brk id="159" max="9" man="1"/>
    <brk id="269" max="9" man="1"/>
    <brk id="28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770"/>
  <sheetViews>
    <sheetView view="pageBreakPreview" zoomScale="70" zoomScaleNormal="100" zoomScaleSheetLayoutView="70" workbookViewId="0">
      <pane ySplit="3555" topLeftCell="A169" activePane="bottomLeft"/>
      <selection activeCell="F5" sqref="F5"/>
      <selection pane="bottomLeft" activeCell="F79" sqref="F79:F83"/>
    </sheetView>
  </sheetViews>
  <sheetFormatPr defaultColWidth="9.140625" defaultRowHeight="15.75" x14ac:dyDescent="0.25"/>
  <cols>
    <col min="1" max="1" width="23.140625" style="5" customWidth="1"/>
    <col min="2" max="2" width="65.5703125" style="4" bestFit="1" customWidth="1"/>
    <col min="3" max="3" width="16" style="1" customWidth="1"/>
    <col min="4" max="4" width="18.5703125" style="3" customWidth="1"/>
    <col min="5" max="5" width="21.7109375" style="1" customWidth="1"/>
    <col min="6" max="6" width="22.28515625" style="3" customWidth="1"/>
    <col min="7" max="8" width="17" style="2" customWidth="1"/>
    <col min="9" max="9" width="12.7109375" style="1" hidden="1" customWidth="1"/>
    <col min="10" max="10" width="10.140625" style="1" hidden="1" customWidth="1"/>
    <col min="11" max="11" width="8.7109375" style="1" hidden="1" customWidth="1"/>
    <col min="12" max="12" width="10.7109375" style="1" customWidth="1"/>
    <col min="13" max="13" width="9.140625" style="1" customWidth="1"/>
    <col min="14" max="14" width="14" style="1" customWidth="1"/>
    <col min="15" max="15" width="19.28515625" style="1" customWidth="1"/>
    <col min="16" max="16" width="13.28515625" style="1" customWidth="1"/>
    <col min="17" max="20" width="9.140625" style="1" customWidth="1"/>
    <col min="21" max="16384" width="9.140625" style="1"/>
  </cols>
  <sheetData>
    <row r="1" spans="1:16" x14ac:dyDescent="0.25">
      <c r="F1" s="334" t="s">
        <v>683</v>
      </c>
      <c r="G1" s="334"/>
      <c r="H1" s="81"/>
    </row>
    <row r="2" spans="1:16" ht="6.75" customHeight="1" x14ac:dyDescent="0.25"/>
    <row r="3" spans="1:16" ht="17.25" customHeight="1" x14ac:dyDescent="0.25">
      <c r="A3" s="335" t="s">
        <v>682</v>
      </c>
      <c r="B3" s="335"/>
      <c r="C3" s="335"/>
      <c r="D3" s="335"/>
      <c r="E3" s="335"/>
      <c r="F3" s="335"/>
      <c r="G3" s="335"/>
      <c r="H3" s="5"/>
    </row>
    <row r="4" spans="1:16" ht="10.5" customHeight="1" x14ac:dyDescent="0.25"/>
    <row r="5" spans="1:16" s="3" customFormat="1" ht="189" x14ac:dyDescent="0.25">
      <c r="A5" s="22" t="s">
        <v>681</v>
      </c>
      <c r="B5" s="14" t="s">
        <v>680</v>
      </c>
      <c r="C5" s="12" t="s">
        <v>679</v>
      </c>
      <c r="D5" s="12" t="s">
        <v>678</v>
      </c>
      <c r="E5" s="12" t="s">
        <v>677</v>
      </c>
      <c r="F5" s="12" t="s">
        <v>676</v>
      </c>
      <c r="G5" s="50" t="s">
        <v>725</v>
      </c>
      <c r="H5" s="134"/>
    </row>
    <row r="6" spans="1:16" ht="15.75" customHeight="1" x14ac:dyDescent="0.25">
      <c r="A6" s="22">
        <v>1</v>
      </c>
      <c r="B6" s="14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3"/>
    </row>
    <row r="7" spans="1:16" s="30" customFormat="1" ht="15.75" customHeight="1" x14ac:dyDescent="0.25">
      <c r="A7" s="35" t="s">
        <v>675</v>
      </c>
      <c r="B7" s="34" t="s">
        <v>674</v>
      </c>
      <c r="C7" s="33"/>
      <c r="D7" s="17"/>
      <c r="E7" s="33"/>
      <c r="F7" s="17"/>
      <c r="G7" s="32"/>
      <c r="H7" s="135"/>
    </row>
    <row r="8" spans="1:16" ht="31.5" customHeight="1" x14ac:dyDescent="0.25">
      <c r="A8" s="25" t="s">
        <v>673</v>
      </c>
      <c r="B8" s="29" t="s">
        <v>672</v>
      </c>
      <c r="C8" s="13"/>
      <c r="D8" s="12"/>
      <c r="E8" s="13"/>
      <c r="F8" s="12"/>
      <c r="G8" s="11"/>
    </row>
    <row r="9" spans="1:16" ht="31.5" customHeight="1" x14ac:dyDescent="0.25">
      <c r="A9" s="25" t="s">
        <v>671</v>
      </c>
      <c r="B9" s="29" t="s">
        <v>670</v>
      </c>
      <c r="C9" s="13"/>
      <c r="D9" s="12"/>
      <c r="E9" s="13"/>
      <c r="F9" s="12"/>
      <c r="G9" s="11"/>
    </row>
    <row r="10" spans="1:16" ht="31.5" customHeight="1" x14ac:dyDescent="0.25">
      <c r="A10" s="25" t="s">
        <v>669</v>
      </c>
      <c r="B10" s="29" t="s">
        <v>668</v>
      </c>
      <c r="C10" s="13"/>
      <c r="D10" s="12"/>
      <c r="E10" s="13"/>
      <c r="F10" s="12"/>
      <c r="G10" s="11"/>
    </row>
    <row r="11" spans="1:16" ht="80.099999999999994" customHeight="1" x14ac:dyDescent="0.25">
      <c r="A11" s="25" t="s">
        <v>667</v>
      </c>
      <c r="B11" s="29" t="s">
        <v>666</v>
      </c>
      <c r="C11" s="13"/>
      <c r="D11" s="12"/>
      <c r="E11" s="13"/>
      <c r="F11" s="12"/>
      <c r="G11" s="11"/>
    </row>
    <row r="12" spans="1:16" ht="18.95" customHeight="1" thickBot="1" x14ac:dyDescent="0.3">
      <c r="A12" s="25" t="s">
        <v>665</v>
      </c>
      <c r="B12" s="29" t="s">
        <v>664</v>
      </c>
      <c r="C12" s="13"/>
      <c r="D12" s="12"/>
      <c r="E12" s="13"/>
      <c r="F12" s="12"/>
      <c r="G12" s="11"/>
    </row>
    <row r="13" spans="1:16" ht="17.25" customHeight="1" x14ac:dyDescent="0.25">
      <c r="A13" s="69" t="s">
        <v>564</v>
      </c>
      <c r="B13" s="14" t="s">
        <v>663</v>
      </c>
      <c r="C13" s="60">
        <v>2020</v>
      </c>
      <c r="D13" s="60">
        <v>0.4</v>
      </c>
      <c r="E13" s="60">
        <v>384</v>
      </c>
      <c r="F13" s="39">
        <v>15</v>
      </c>
      <c r="G13" s="68">
        <v>278.64</v>
      </c>
      <c r="H13" s="136"/>
      <c r="I13" s="70" t="s">
        <v>662</v>
      </c>
      <c r="J13" s="80"/>
      <c r="L13" s="166">
        <f>SUBTOTAL(9,G13:G150)</f>
        <v>18006.507521403135</v>
      </c>
      <c r="M13" s="167">
        <v>15561.913459999998</v>
      </c>
      <c r="N13" s="167" t="s">
        <v>734</v>
      </c>
      <c r="O13" s="167"/>
      <c r="P13" s="168"/>
    </row>
    <row r="14" spans="1:16" ht="17.25" customHeight="1" x14ac:dyDescent="0.25">
      <c r="A14" s="79" t="s">
        <v>564</v>
      </c>
      <c r="B14" s="14" t="s">
        <v>473</v>
      </c>
      <c r="C14" s="78">
        <v>2020</v>
      </c>
      <c r="D14" s="78">
        <v>0.4</v>
      </c>
      <c r="E14" s="78">
        <v>126</v>
      </c>
      <c r="F14" s="78">
        <v>15</v>
      </c>
      <c r="G14" s="77">
        <v>231.49</v>
      </c>
      <c r="H14" s="137"/>
      <c r="I14" s="76" t="s">
        <v>549</v>
      </c>
      <c r="J14" s="70"/>
      <c r="L14" s="169">
        <f>SUBTOTAL(9,E13:E150)</f>
        <v>17736.7</v>
      </c>
      <c r="M14" s="1">
        <v>15532.7</v>
      </c>
      <c r="N14" s="1" t="s">
        <v>737</v>
      </c>
      <c r="O14" s="1">
        <f>M14/1000</f>
        <v>15.5327</v>
      </c>
      <c r="P14" s="170" t="s">
        <v>736</v>
      </c>
    </row>
    <row r="15" spans="1:16" ht="17.25" customHeight="1" thickBot="1" x14ac:dyDescent="0.3">
      <c r="A15" s="69" t="s">
        <v>564</v>
      </c>
      <c r="B15" s="14" t="s">
        <v>661</v>
      </c>
      <c r="C15" s="60">
        <v>2020</v>
      </c>
      <c r="D15" s="60">
        <v>0.4</v>
      </c>
      <c r="E15" s="60">
        <v>43</v>
      </c>
      <c r="F15" s="60">
        <v>15</v>
      </c>
      <c r="G15" s="74">
        <v>26.33</v>
      </c>
      <c r="H15" s="138"/>
      <c r="I15" s="70" t="s">
        <v>660</v>
      </c>
      <c r="J15" s="70"/>
      <c r="L15" s="171">
        <f>SUBTOTAL(9,F13:F150)</f>
        <v>5107.3999999999996</v>
      </c>
      <c r="M15" s="172">
        <v>3248</v>
      </c>
      <c r="N15" s="172" t="s">
        <v>738</v>
      </c>
      <c r="O15" s="172"/>
      <c r="P15" s="173"/>
    </row>
    <row r="16" spans="1:16" ht="17.25" customHeight="1" x14ac:dyDescent="0.25">
      <c r="A16" s="69" t="s">
        <v>563</v>
      </c>
      <c r="B16" s="14" t="s">
        <v>659</v>
      </c>
      <c r="C16" s="60">
        <v>2020</v>
      </c>
      <c r="D16" s="60">
        <v>0.4</v>
      </c>
      <c r="E16" s="60">
        <v>119</v>
      </c>
      <c r="F16" s="39">
        <v>5</v>
      </c>
      <c r="G16" s="74">
        <v>23.22</v>
      </c>
      <c r="H16" s="138"/>
      <c r="I16" s="70" t="s">
        <v>658</v>
      </c>
      <c r="J16" s="70"/>
      <c r="L16" s="70"/>
    </row>
    <row r="17" spans="1:16" ht="17.25" customHeight="1" x14ac:dyDescent="0.25">
      <c r="A17" s="69" t="s">
        <v>563</v>
      </c>
      <c r="B17" s="14" t="s">
        <v>657</v>
      </c>
      <c r="C17" s="60">
        <v>2020</v>
      </c>
      <c r="D17" s="60">
        <v>0.4</v>
      </c>
      <c r="E17" s="39">
        <v>308</v>
      </c>
      <c r="F17" s="39">
        <v>5</v>
      </c>
      <c r="G17" s="68">
        <v>250.44</v>
      </c>
      <c r="H17" s="136"/>
      <c r="I17" s="70" t="s">
        <v>656</v>
      </c>
      <c r="J17" s="70"/>
      <c r="L17" s="70"/>
    </row>
    <row r="18" spans="1:16" ht="17.25" customHeight="1" x14ac:dyDescent="0.25">
      <c r="A18" s="69" t="s">
        <v>563</v>
      </c>
      <c r="B18" s="14" t="s">
        <v>655</v>
      </c>
      <c r="C18" s="60">
        <v>2020</v>
      </c>
      <c r="D18" s="60">
        <v>0.4</v>
      </c>
      <c r="E18" s="39">
        <v>263</v>
      </c>
      <c r="F18" s="39">
        <v>15</v>
      </c>
      <c r="G18" s="68">
        <v>251.51</v>
      </c>
      <c r="H18" s="136"/>
      <c r="I18" s="70" t="s">
        <v>654</v>
      </c>
      <c r="J18" s="70"/>
      <c r="L18" s="70"/>
    </row>
    <row r="19" spans="1:16" ht="17.25" customHeight="1" x14ac:dyDescent="0.25">
      <c r="A19" s="69" t="s">
        <v>564</v>
      </c>
      <c r="B19" s="14" t="s">
        <v>653</v>
      </c>
      <c r="C19" s="60">
        <v>2020</v>
      </c>
      <c r="D19" s="60">
        <v>0.4</v>
      </c>
      <c r="E19" s="39">
        <v>178</v>
      </c>
      <c r="F19" s="39">
        <v>15</v>
      </c>
      <c r="G19" s="68">
        <v>155.57</v>
      </c>
      <c r="H19" s="136"/>
      <c r="I19" s="70" t="s">
        <v>652</v>
      </c>
      <c r="J19" s="70"/>
      <c r="L19" s="70"/>
    </row>
    <row r="20" spans="1:16" ht="17.25" customHeight="1" x14ac:dyDescent="0.25">
      <c r="A20" s="69" t="s">
        <v>651</v>
      </c>
      <c r="B20" s="14" t="s">
        <v>471</v>
      </c>
      <c r="C20" s="39">
        <v>2020</v>
      </c>
      <c r="D20" s="39">
        <v>0.4</v>
      </c>
      <c r="E20" s="39">
        <v>107.7</v>
      </c>
      <c r="F20" s="60">
        <v>15</v>
      </c>
      <c r="G20" s="71">
        <v>48.08</v>
      </c>
      <c r="H20" s="139"/>
      <c r="I20" s="67" t="s">
        <v>650</v>
      </c>
      <c r="J20" s="58" t="s">
        <v>649</v>
      </c>
      <c r="L20" s="73"/>
    </row>
    <row r="21" spans="1:16" ht="17.25" customHeight="1" x14ac:dyDescent="0.25">
      <c r="A21" s="28" t="s">
        <v>564</v>
      </c>
      <c r="B21" s="27" t="s">
        <v>647</v>
      </c>
      <c r="C21" s="26">
        <v>2020</v>
      </c>
      <c r="D21" s="26">
        <v>0.4</v>
      </c>
      <c r="E21" s="26">
        <v>189</v>
      </c>
      <c r="F21" s="26">
        <v>15</v>
      </c>
      <c r="G21" s="72">
        <v>257.16000000000003</v>
      </c>
      <c r="H21" s="140"/>
      <c r="I21" s="57" t="s">
        <v>449</v>
      </c>
      <c r="J21" s="57" t="s">
        <v>648</v>
      </c>
      <c r="L21" s="66"/>
    </row>
    <row r="22" spans="1:16" ht="17.25" customHeight="1" x14ac:dyDescent="0.25">
      <c r="A22" s="28" t="s">
        <v>563</v>
      </c>
      <c r="B22" s="27" t="s">
        <v>647</v>
      </c>
      <c r="C22" s="26">
        <v>2020</v>
      </c>
      <c r="D22" s="26">
        <v>0.4</v>
      </c>
      <c r="E22" s="26">
        <v>65</v>
      </c>
      <c r="F22" s="26">
        <v>15</v>
      </c>
      <c r="G22" s="72">
        <v>33.42</v>
      </c>
      <c r="H22" s="140"/>
      <c r="I22" s="57"/>
      <c r="J22" s="57"/>
      <c r="L22" s="66"/>
    </row>
    <row r="23" spans="1:16" ht="17.25" customHeight="1" x14ac:dyDescent="0.25">
      <c r="A23" s="69" t="s">
        <v>564</v>
      </c>
      <c r="B23" s="14" t="s">
        <v>646</v>
      </c>
      <c r="C23" s="39">
        <v>2020</v>
      </c>
      <c r="D23" s="39">
        <v>0.4</v>
      </c>
      <c r="E23" s="39">
        <v>190</v>
      </c>
      <c r="F23" s="60">
        <v>100</v>
      </c>
      <c r="G23" s="71">
        <v>72.17</v>
      </c>
      <c r="H23" s="139"/>
      <c r="I23" s="67" t="s">
        <v>645</v>
      </c>
      <c r="J23" s="58"/>
      <c r="L23" s="66"/>
    </row>
    <row r="24" spans="1:16" ht="17.25" customHeight="1" x14ac:dyDescent="0.25">
      <c r="A24" s="69" t="s">
        <v>564</v>
      </c>
      <c r="B24" s="14" t="s">
        <v>300</v>
      </c>
      <c r="C24" s="39">
        <v>2020</v>
      </c>
      <c r="D24" s="39">
        <v>0.4</v>
      </c>
      <c r="E24" s="39">
        <v>53</v>
      </c>
      <c r="F24" s="60">
        <v>50</v>
      </c>
      <c r="G24" s="71">
        <v>162.63999999999999</v>
      </c>
      <c r="H24" s="141"/>
      <c r="I24" s="70">
        <v>52.4</v>
      </c>
      <c r="J24" s="58"/>
      <c r="L24" s="66"/>
    </row>
    <row r="25" spans="1:16" ht="17.25" customHeight="1" x14ac:dyDescent="0.25">
      <c r="A25" s="69" t="s">
        <v>564</v>
      </c>
      <c r="B25" s="14" t="s">
        <v>644</v>
      </c>
      <c r="C25" s="39">
        <v>2020</v>
      </c>
      <c r="D25" s="39">
        <v>0.4</v>
      </c>
      <c r="E25" s="39">
        <v>205</v>
      </c>
      <c r="F25" s="39">
        <v>60</v>
      </c>
      <c r="G25" s="68">
        <v>407.57</v>
      </c>
      <c r="H25" s="142"/>
      <c r="I25" s="67" t="s">
        <v>643</v>
      </c>
      <c r="J25" s="58"/>
      <c r="L25" s="66"/>
    </row>
    <row r="26" spans="1:16" ht="17.25" customHeight="1" x14ac:dyDescent="0.25">
      <c r="A26" s="69" t="s">
        <v>564</v>
      </c>
      <c r="B26" s="14" t="s">
        <v>642</v>
      </c>
      <c r="C26" s="39">
        <v>2020</v>
      </c>
      <c r="D26" s="39">
        <v>0.4</v>
      </c>
      <c r="E26" s="39">
        <v>200</v>
      </c>
      <c r="F26" s="60">
        <v>100</v>
      </c>
      <c r="G26" s="68">
        <v>115.64</v>
      </c>
      <c r="H26" s="142"/>
      <c r="I26" s="67">
        <v>12479</v>
      </c>
      <c r="J26" s="58"/>
      <c r="L26" s="66"/>
    </row>
    <row r="27" spans="1:16" ht="17.25" customHeight="1" x14ac:dyDescent="0.25">
      <c r="A27" s="69" t="s">
        <v>562</v>
      </c>
      <c r="B27" s="14" t="s">
        <v>641</v>
      </c>
      <c r="C27" s="60">
        <v>2020</v>
      </c>
      <c r="D27" s="60">
        <v>0.4</v>
      </c>
      <c r="E27" s="39">
        <v>676</v>
      </c>
      <c r="F27" s="39">
        <v>25</v>
      </c>
      <c r="G27" s="68">
        <v>672.93</v>
      </c>
      <c r="H27" s="136"/>
      <c r="I27" s="70" t="s">
        <v>640</v>
      </c>
      <c r="J27" s="70">
        <v>672.93</v>
      </c>
      <c r="L27" s="66"/>
    </row>
    <row r="28" spans="1:16" ht="17.25" customHeight="1" x14ac:dyDescent="0.25">
      <c r="A28" s="69" t="s">
        <v>563</v>
      </c>
      <c r="B28" s="14" t="s">
        <v>282</v>
      </c>
      <c r="C28" s="39">
        <v>2020</v>
      </c>
      <c r="D28" s="60">
        <v>0.4</v>
      </c>
      <c r="E28" s="39">
        <v>20</v>
      </c>
      <c r="F28" s="39">
        <v>14</v>
      </c>
      <c r="G28" s="68">
        <v>4.76</v>
      </c>
      <c r="H28" s="136"/>
      <c r="I28" s="70">
        <v>338</v>
      </c>
      <c r="J28" s="70"/>
      <c r="L28" s="66"/>
    </row>
    <row r="29" spans="1:16" ht="17.25" customHeight="1" thickBot="1" x14ac:dyDescent="0.3">
      <c r="A29" s="69" t="s">
        <v>563</v>
      </c>
      <c r="B29" s="14" t="s">
        <v>282</v>
      </c>
      <c r="C29" s="39">
        <v>2020</v>
      </c>
      <c r="D29" s="60">
        <v>0.4</v>
      </c>
      <c r="E29" s="39">
        <v>46</v>
      </c>
      <c r="F29" s="60">
        <v>14</v>
      </c>
      <c r="G29" s="68">
        <v>167.09</v>
      </c>
      <c r="H29" s="142"/>
      <c r="I29" s="67">
        <v>338</v>
      </c>
      <c r="J29" s="58"/>
      <c r="L29" s="155"/>
    </row>
    <row r="30" spans="1:16" ht="17.25" customHeight="1" thickBot="1" x14ac:dyDescent="0.3">
      <c r="A30" s="62" t="s">
        <v>639</v>
      </c>
      <c r="B30" s="82" t="s">
        <v>638</v>
      </c>
      <c r="C30" s="60">
        <v>2020</v>
      </c>
      <c r="D30" s="60">
        <v>6</v>
      </c>
      <c r="E30" s="60">
        <v>205</v>
      </c>
      <c r="F30" s="60">
        <v>300</v>
      </c>
      <c r="G30" s="59">
        <v>399.38</v>
      </c>
      <c r="H30" s="143"/>
      <c r="I30" s="57" t="s">
        <v>637</v>
      </c>
      <c r="J30" s="65"/>
      <c r="L30" s="157">
        <f>SUBTOTAL(9,G30:G149)</f>
        <v>14377.673791403144</v>
      </c>
      <c r="M30" s="158">
        <v>2444.5940614031397</v>
      </c>
      <c r="N30" s="159" t="s">
        <v>735</v>
      </c>
      <c r="O30" s="158"/>
      <c r="P30" s="160"/>
    </row>
    <row r="31" spans="1:16" ht="17.25" customHeight="1" x14ac:dyDescent="0.25">
      <c r="A31" s="62" t="s">
        <v>563</v>
      </c>
      <c r="B31" s="82" t="s">
        <v>252</v>
      </c>
      <c r="C31" s="60">
        <v>2021</v>
      </c>
      <c r="D31" s="60">
        <v>0.4</v>
      </c>
      <c r="E31" s="60">
        <v>120</v>
      </c>
      <c r="F31" s="60">
        <v>15</v>
      </c>
      <c r="G31" s="59">
        <v>27.730599999999999</v>
      </c>
      <c r="H31" s="143"/>
      <c r="I31" s="57" t="s">
        <v>636</v>
      </c>
      <c r="J31" s="65"/>
      <c r="L31" s="64"/>
      <c r="N31" s="52"/>
    </row>
    <row r="32" spans="1:16" ht="17.25" customHeight="1" x14ac:dyDescent="0.25">
      <c r="A32" s="62" t="s">
        <v>563</v>
      </c>
      <c r="B32" s="82" t="s">
        <v>635</v>
      </c>
      <c r="C32" s="60">
        <v>2021</v>
      </c>
      <c r="D32" s="60">
        <v>0.4</v>
      </c>
      <c r="E32" s="60">
        <v>46</v>
      </c>
      <c r="F32" s="60">
        <v>15</v>
      </c>
      <c r="G32" s="59">
        <v>28.8673</v>
      </c>
      <c r="H32" s="143"/>
      <c r="I32" s="57" t="s">
        <v>634</v>
      </c>
      <c r="J32" s="65"/>
      <c r="L32" s="64"/>
      <c r="N32" s="52"/>
    </row>
    <row r="33" spans="1:14" ht="17.25" customHeight="1" x14ac:dyDescent="0.25">
      <c r="A33" s="62" t="s">
        <v>563</v>
      </c>
      <c r="B33" s="82" t="s">
        <v>633</v>
      </c>
      <c r="C33" s="60">
        <v>2021</v>
      </c>
      <c r="D33" s="60">
        <v>0.4</v>
      </c>
      <c r="E33" s="60">
        <v>61</v>
      </c>
      <c r="F33" s="60">
        <v>15</v>
      </c>
      <c r="G33" s="59">
        <v>35.5533</v>
      </c>
      <c r="H33" s="143"/>
      <c r="I33" s="57" t="s">
        <v>632</v>
      </c>
      <c r="J33" s="65"/>
      <c r="L33" s="64"/>
      <c r="N33" s="52"/>
    </row>
    <row r="34" spans="1:14" ht="17.25" customHeight="1" x14ac:dyDescent="0.25">
      <c r="A34" s="62" t="s">
        <v>564</v>
      </c>
      <c r="B34" s="82" t="s">
        <v>631</v>
      </c>
      <c r="C34" s="60">
        <v>2021</v>
      </c>
      <c r="D34" s="60">
        <v>0.4</v>
      </c>
      <c r="E34" s="60">
        <v>274</v>
      </c>
      <c r="F34" s="60">
        <v>15</v>
      </c>
      <c r="G34" s="59">
        <v>372.01900000000001</v>
      </c>
      <c r="H34" s="143"/>
      <c r="I34" s="57" t="s">
        <v>630</v>
      </c>
      <c r="J34" s="65"/>
      <c r="L34" s="64"/>
      <c r="N34" s="52"/>
    </row>
    <row r="35" spans="1:14" ht="17.25" customHeight="1" x14ac:dyDescent="0.25">
      <c r="A35" s="62" t="s">
        <v>563</v>
      </c>
      <c r="B35" s="82" t="s">
        <v>629</v>
      </c>
      <c r="C35" s="60">
        <v>2021</v>
      </c>
      <c r="D35" s="60">
        <v>0.4</v>
      </c>
      <c r="E35" s="60">
        <v>53</v>
      </c>
      <c r="F35" s="60">
        <v>15</v>
      </c>
      <c r="G35" s="59">
        <v>23.258099999999999</v>
      </c>
      <c r="H35" s="143"/>
      <c r="I35" s="57" t="s">
        <v>628</v>
      </c>
      <c r="J35" s="65"/>
      <c r="L35" s="64"/>
      <c r="N35" s="52"/>
    </row>
    <row r="36" spans="1:14" ht="17.25" customHeight="1" x14ac:dyDescent="0.25">
      <c r="A36" s="62" t="s">
        <v>563</v>
      </c>
      <c r="B36" s="82" t="s">
        <v>627</v>
      </c>
      <c r="C36" s="60">
        <v>2021</v>
      </c>
      <c r="D36" s="60">
        <v>0.4</v>
      </c>
      <c r="E36" s="60">
        <v>20</v>
      </c>
      <c r="F36" s="60">
        <v>5</v>
      </c>
      <c r="G36" s="59">
        <v>16.187100000000001</v>
      </c>
      <c r="H36" s="143"/>
      <c r="I36" s="57" t="s">
        <v>626</v>
      </c>
      <c r="J36" s="65"/>
      <c r="L36" s="64"/>
      <c r="N36" s="52"/>
    </row>
    <row r="37" spans="1:14" ht="17.25" customHeight="1" x14ac:dyDescent="0.25">
      <c r="A37" s="62" t="s">
        <v>563</v>
      </c>
      <c r="B37" s="82" t="s">
        <v>625</v>
      </c>
      <c r="C37" s="60">
        <v>2021</v>
      </c>
      <c r="D37" s="60">
        <v>0.4</v>
      </c>
      <c r="E37" s="60">
        <v>120</v>
      </c>
      <c r="F37" s="60">
        <v>15</v>
      </c>
      <c r="G37" s="59">
        <v>23.052399999999999</v>
      </c>
      <c r="H37" s="143"/>
      <c r="I37" s="57" t="s">
        <v>624</v>
      </c>
      <c r="J37" s="65"/>
      <c r="L37" s="64"/>
      <c r="N37" s="52"/>
    </row>
    <row r="38" spans="1:14" ht="17.25" customHeight="1" x14ac:dyDescent="0.25">
      <c r="A38" s="62" t="s">
        <v>563</v>
      </c>
      <c r="B38" s="82" t="s">
        <v>124</v>
      </c>
      <c r="C38" s="60">
        <v>2021</v>
      </c>
      <c r="D38" s="60">
        <v>0.4</v>
      </c>
      <c r="E38" s="60">
        <v>40</v>
      </c>
      <c r="F38" s="60">
        <v>15</v>
      </c>
      <c r="G38" s="59">
        <v>11.1975</v>
      </c>
      <c r="H38" s="143"/>
      <c r="I38" s="57" t="s">
        <v>623</v>
      </c>
      <c r="J38" s="65"/>
      <c r="L38" s="64"/>
      <c r="N38" s="52"/>
    </row>
    <row r="39" spans="1:14" ht="17.25" customHeight="1" x14ac:dyDescent="0.25">
      <c r="A39" s="62" t="s">
        <v>563</v>
      </c>
      <c r="B39" s="82" t="s">
        <v>622</v>
      </c>
      <c r="C39" s="60">
        <v>2021</v>
      </c>
      <c r="D39" s="60">
        <v>0.4</v>
      </c>
      <c r="E39" s="60">
        <v>95</v>
      </c>
      <c r="F39" s="60">
        <v>15</v>
      </c>
      <c r="G39" s="59">
        <v>98.036500000000004</v>
      </c>
      <c r="H39" s="143"/>
      <c r="I39" s="57" t="s">
        <v>621</v>
      </c>
      <c r="J39" s="65"/>
      <c r="L39" s="64"/>
      <c r="N39" s="52"/>
    </row>
    <row r="40" spans="1:14" ht="17.25" customHeight="1" x14ac:dyDescent="0.25">
      <c r="A40" s="62" t="s">
        <v>563</v>
      </c>
      <c r="B40" s="82" t="s">
        <v>207</v>
      </c>
      <c r="C40" s="60">
        <v>2021</v>
      </c>
      <c r="D40" s="60">
        <v>0.4</v>
      </c>
      <c r="E40" s="60">
        <v>28</v>
      </c>
      <c r="F40" s="60">
        <v>5</v>
      </c>
      <c r="G40" s="59">
        <v>10.8569</v>
      </c>
      <c r="H40" s="143"/>
      <c r="I40" s="57" t="s">
        <v>434</v>
      </c>
      <c r="J40" s="65"/>
      <c r="L40" s="64"/>
      <c r="N40" s="52"/>
    </row>
    <row r="41" spans="1:14" ht="17.25" customHeight="1" x14ac:dyDescent="0.25">
      <c r="A41" s="62" t="s">
        <v>563</v>
      </c>
      <c r="B41" s="82" t="s">
        <v>433</v>
      </c>
      <c r="C41" s="60">
        <v>2021</v>
      </c>
      <c r="D41" s="60">
        <v>0.4</v>
      </c>
      <c r="E41" s="60">
        <v>63</v>
      </c>
      <c r="F41" s="60">
        <v>5</v>
      </c>
      <c r="G41" s="59">
        <v>15.677</v>
      </c>
      <c r="H41" s="143"/>
      <c r="I41" s="57" t="s">
        <v>432</v>
      </c>
      <c r="J41" s="65"/>
      <c r="L41" s="64"/>
      <c r="N41" s="52"/>
    </row>
    <row r="42" spans="1:14" ht="17.25" customHeight="1" x14ac:dyDescent="0.25">
      <c r="A42" s="62" t="s">
        <v>563</v>
      </c>
      <c r="B42" s="82" t="s">
        <v>620</v>
      </c>
      <c r="C42" s="60">
        <v>2021</v>
      </c>
      <c r="D42" s="60">
        <v>0.4</v>
      </c>
      <c r="E42" s="60">
        <v>111</v>
      </c>
      <c r="F42" s="60">
        <v>15</v>
      </c>
      <c r="G42" s="59">
        <v>138.12799999999999</v>
      </c>
      <c r="H42" s="143"/>
      <c r="I42" s="57" t="s">
        <v>619</v>
      </c>
      <c r="J42" s="65"/>
      <c r="L42" s="64"/>
      <c r="N42" s="52"/>
    </row>
    <row r="43" spans="1:14" ht="17.25" customHeight="1" x14ac:dyDescent="0.25">
      <c r="A43" s="62" t="s">
        <v>563</v>
      </c>
      <c r="B43" s="82" t="s">
        <v>618</v>
      </c>
      <c r="C43" s="60">
        <v>2021</v>
      </c>
      <c r="D43" s="60">
        <v>0.4</v>
      </c>
      <c r="E43" s="60">
        <v>224</v>
      </c>
      <c r="F43" s="60">
        <v>5</v>
      </c>
      <c r="G43" s="59">
        <v>65.398700000000005</v>
      </c>
      <c r="H43" s="143"/>
      <c r="I43" s="57" t="s">
        <v>617</v>
      </c>
      <c r="J43" s="65"/>
      <c r="L43" s="64"/>
      <c r="N43" s="52"/>
    </row>
    <row r="44" spans="1:14" ht="17.25" customHeight="1" x14ac:dyDescent="0.25">
      <c r="A44" s="62" t="s">
        <v>563</v>
      </c>
      <c r="B44" s="82" t="s">
        <v>616</v>
      </c>
      <c r="C44" s="60">
        <v>2021</v>
      </c>
      <c r="D44" s="60">
        <v>0.4</v>
      </c>
      <c r="E44" s="60">
        <v>200</v>
      </c>
      <c r="F44" s="60">
        <v>15</v>
      </c>
      <c r="G44" s="59">
        <v>303.72000000000003</v>
      </c>
      <c r="H44" s="143"/>
      <c r="I44" s="57" t="s">
        <v>615</v>
      </c>
      <c r="J44" s="65"/>
      <c r="L44" s="64"/>
      <c r="N44" s="52"/>
    </row>
    <row r="45" spans="1:14" ht="17.25" customHeight="1" x14ac:dyDescent="0.25">
      <c r="A45" s="62" t="s">
        <v>563</v>
      </c>
      <c r="B45" s="82" t="s">
        <v>215</v>
      </c>
      <c r="C45" s="60">
        <v>2021</v>
      </c>
      <c r="D45" s="60">
        <v>0.4</v>
      </c>
      <c r="E45" s="60">
        <v>32</v>
      </c>
      <c r="F45" s="60">
        <v>15</v>
      </c>
      <c r="G45" s="59">
        <v>15.5602</v>
      </c>
      <c r="H45" s="143"/>
      <c r="I45" s="57" t="s">
        <v>614</v>
      </c>
      <c r="J45" s="65"/>
      <c r="L45" s="64"/>
      <c r="N45" s="52"/>
    </row>
    <row r="46" spans="1:14" ht="17.25" customHeight="1" x14ac:dyDescent="0.25">
      <c r="A46" s="62" t="s">
        <v>563</v>
      </c>
      <c r="B46" s="82" t="s">
        <v>613</v>
      </c>
      <c r="C46" s="60">
        <v>2021</v>
      </c>
      <c r="D46" s="60">
        <v>0.4</v>
      </c>
      <c r="E46" s="60">
        <v>84</v>
      </c>
      <c r="F46" s="60">
        <v>15</v>
      </c>
      <c r="G46" s="59">
        <v>27.002099999999999</v>
      </c>
      <c r="H46" s="143"/>
      <c r="I46" s="57" t="s">
        <v>612</v>
      </c>
      <c r="J46" s="65"/>
      <c r="L46" s="64"/>
      <c r="N46" s="52"/>
    </row>
    <row r="47" spans="1:14" ht="17.25" customHeight="1" x14ac:dyDescent="0.25">
      <c r="A47" s="62" t="s">
        <v>564</v>
      </c>
      <c r="B47" s="82" t="s">
        <v>611</v>
      </c>
      <c r="C47" s="60">
        <v>2021</v>
      </c>
      <c r="D47" s="60">
        <v>0.4</v>
      </c>
      <c r="E47" s="60">
        <v>43</v>
      </c>
      <c r="F47" s="60"/>
      <c r="G47" s="59">
        <v>26.329499999999999</v>
      </c>
      <c r="H47" s="143"/>
      <c r="I47" s="57"/>
      <c r="J47" s="65"/>
      <c r="L47" s="64"/>
      <c r="N47" s="52"/>
    </row>
    <row r="48" spans="1:14" ht="17.25" customHeight="1" thickBot="1" x14ac:dyDescent="0.3">
      <c r="A48" s="62" t="s">
        <v>563</v>
      </c>
      <c r="B48" s="82" t="s">
        <v>610</v>
      </c>
      <c r="C48" s="60">
        <v>2021</v>
      </c>
      <c r="D48" s="60">
        <v>0.4</v>
      </c>
      <c r="E48" s="60">
        <v>70</v>
      </c>
      <c r="F48" s="60">
        <v>5</v>
      </c>
      <c r="G48" s="59">
        <v>34.062600000000003</v>
      </c>
      <c r="H48" s="143"/>
      <c r="I48" s="57" t="s">
        <v>609</v>
      </c>
      <c r="J48" s="65"/>
      <c r="L48" s="156"/>
      <c r="N48" s="52"/>
    </row>
    <row r="49" spans="1:16" ht="17.25" customHeight="1" thickBot="1" x14ac:dyDescent="0.3">
      <c r="A49" s="62" t="s">
        <v>563</v>
      </c>
      <c r="B49" s="82" t="s">
        <v>608</v>
      </c>
      <c r="C49" s="60">
        <v>2021</v>
      </c>
      <c r="D49" s="60">
        <v>6</v>
      </c>
      <c r="E49" s="60">
        <v>10</v>
      </c>
      <c r="F49" s="60">
        <v>5</v>
      </c>
      <c r="G49" s="59">
        <v>94.545400000000001</v>
      </c>
      <c r="H49" s="143"/>
      <c r="I49" s="57" t="s">
        <v>607</v>
      </c>
      <c r="J49" s="65"/>
      <c r="L49" s="161">
        <f>SUBTOTAL(9,E30:E149)</f>
        <v>14364</v>
      </c>
      <c r="M49" s="158">
        <v>2204</v>
      </c>
      <c r="N49" s="159" t="s">
        <v>737</v>
      </c>
      <c r="O49" s="158">
        <f>M49/1000</f>
        <v>2.2040000000000002</v>
      </c>
      <c r="P49" s="160" t="s">
        <v>739</v>
      </c>
    </row>
    <row r="50" spans="1:16" ht="17.25" customHeight="1" x14ac:dyDescent="0.25">
      <c r="A50" s="62" t="s">
        <v>564</v>
      </c>
      <c r="B50" s="82" t="s">
        <v>606</v>
      </c>
      <c r="C50" s="60">
        <v>2021</v>
      </c>
      <c r="D50" s="60">
        <v>0.4</v>
      </c>
      <c r="E50" s="60">
        <v>261</v>
      </c>
      <c r="F50" s="60">
        <v>15</v>
      </c>
      <c r="G50" s="59">
        <v>109.60299999999999</v>
      </c>
      <c r="H50" s="143"/>
      <c r="I50" s="57" t="s">
        <v>605</v>
      </c>
      <c r="J50" s="65"/>
      <c r="L50" s="64"/>
      <c r="N50" s="52"/>
    </row>
    <row r="51" spans="1:16" ht="17.25" customHeight="1" x14ac:dyDescent="0.25">
      <c r="A51" s="62" t="s">
        <v>563</v>
      </c>
      <c r="B51" s="82" t="s">
        <v>186</v>
      </c>
      <c r="C51" s="60">
        <v>2021</v>
      </c>
      <c r="D51" s="60">
        <v>0.4</v>
      </c>
      <c r="E51" s="60">
        <v>30</v>
      </c>
      <c r="F51" s="60">
        <v>15</v>
      </c>
      <c r="G51" s="59">
        <v>21.963000000000001</v>
      </c>
      <c r="H51" s="143"/>
      <c r="I51" s="57" t="s">
        <v>604</v>
      </c>
      <c r="J51" s="65"/>
      <c r="L51" s="64"/>
      <c r="N51" s="52"/>
    </row>
    <row r="52" spans="1:16" ht="17.25" customHeight="1" x14ac:dyDescent="0.25">
      <c r="A52" s="62" t="s">
        <v>563</v>
      </c>
      <c r="B52" s="82" t="s">
        <v>142</v>
      </c>
      <c r="C52" s="60">
        <v>2021</v>
      </c>
      <c r="D52" s="60">
        <v>0.4</v>
      </c>
      <c r="E52" s="60">
        <v>196</v>
      </c>
      <c r="F52" s="60">
        <v>5</v>
      </c>
      <c r="G52" s="59">
        <v>93.299000000000007</v>
      </c>
      <c r="H52" s="143"/>
      <c r="I52" s="57" t="s">
        <v>603</v>
      </c>
      <c r="J52" s="65"/>
      <c r="L52" s="64"/>
      <c r="N52" s="52"/>
    </row>
    <row r="53" spans="1:16" ht="17.25" customHeight="1" x14ac:dyDescent="0.25">
      <c r="A53" s="62" t="s">
        <v>563</v>
      </c>
      <c r="B53" s="82" t="s">
        <v>602</v>
      </c>
      <c r="C53" s="60">
        <v>2021</v>
      </c>
      <c r="D53" s="60">
        <v>0.4</v>
      </c>
      <c r="E53" s="60">
        <v>86</v>
      </c>
      <c r="F53" s="60">
        <v>10</v>
      </c>
      <c r="G53" s="59">
        <v>29.929400000000001</v>
      </c>
      <c r="H53" s="143"/>
      <c r="I53" s="57" t="s">
        <v>601</v>
      </c>
      <c r="J53" s="65"/>
      <c r="L53" s="64"/>
      <c r="N53" s="52"/>
    </row>
    <row r="54" spans="1:16" ht="17.25" customHeight="1" x14ac:dyDescent="0.25">
      <c r="A54" s="62" t="s">
        <v>563</v>
      </c>
      <c r="B54" s="82" t="s">
        <v>600</v>
      </c>
      <c r="C54" s="60">
        <v>2021</v>
      </c>
      <c r="D54" s="60">
        <v>0.4</v>
      </c>
      <c r="E54" s="60">
        <v>274</v>
      </c>
      <c r="F54" s="60">
        <v>10</v>
      </c>
      <c r="G54" s="59">
        <v>149.434</v>
      </c>
      <c r="H54" s="143"/>
      <c r="I54" s="57" t="s">
        <v>599</v>
      </c>
      <c r="J54" s="65"/>
      <c r="L54" s="64"/>
      <c r="N54" s="52"/>
    </row>
    <row r="55" spans="1:16" ht="17.25" customHeight="1" x14ac:dyDescent="0.25">
      <c r="A55" s="62" t="s">
        <v>563</v>
      </c>
      <c r="B55" s="82" t="s">
        <v>598</v>
      </c>
      <c r="C55" s="60">
        <v>2021</v>
      </c>
      <c r="D55" s="60">
        <v>0.4</v>
      </c>
      <c r="E55" s="60">
        <v>76</v>
      </c>
      <c r="F55" s="60">
        <v>10</v>
      </c>
      <c r="G55" s="59">
        <v>22.759799999999998</v>
      </c>
      <c r="H55" s="143"/>
      <c r="I55" s="57" t="s">
        <v>597</v>
      </c>
      <c r="J55" s="65"/>
      <c r="L55" s="64"/>
      <c r="N55" s="52"/>
    </row>
    <row r="56" spans="1:16" ht="17.25" customHeight="1" x14ac:dyDescent="0.25">
      <c r="A56" s="62" t="s">
        <v>563</v>
      </c>
      <c r="B56" s="82" t="s">
        <v>596</v>
      </c>
      <c r="C56" s="60">
        <v>2021</v>
      </c>
      <c r="D56" s="60">
        <v>0.4</v>
      </c>
      <c r="E56" s="60">
        <v>67</v>
      </c>
      <c r="F56" s="60">
        <v>10</v>
      </c>
      <c r="G56" s="59">
        <v>9.6864899999999992</v>
      </c>
      <c r="H56" s="143"/>
      <c r="I56" s="57" t="s">
        <v>595</v>
      </c>
      <c r="J56" s="65"/>
      <c r="L56" s="64"/>
      <c r="N56" s="52"/>
    </row>
    <row r="57" spans="1:16" ht="17.25" customHeight="1" x14ac:dyDescent="0.25">
      <c r="A57" s="62" t="s">
        <v>563</v>
      </c>
      <c r="B57" s="82" t="s">
        <v>594</v>
      </c>
      <c r="C57" s="60">
        <v>2021</v>
      </c>
      <c r="D57" s="60">
        <v>0.4</v>
      </c>
      <c r="E57" s="60">
        <v>240</v>
      </c>
      <c r="F57" s="60">
        <v>30</v>
      </c>
      <c r="G57" s="59">
        <v>54.777200000000001</v>
      </c>
      <c r="H57" s="143"/>
      <c r="I57" s="57" t="s">
        <v>593</v>
      </c>
      <c r="J57" s="65"/>
      <c r="L57" s="64"/>
      <c r="N57" s="52"/>
    </row>
    <row r="58" spans="1:16" ht="17.25" customHeight="1" x14ac:dyDescent="0.25">
      <c r="A58" s="62" t="s">
        <v>563</v>
      </c>
      <c r="B58" s="82" t="s">
        <v>592</v>
      </c>
      <c r="C58" s="60">
        <v>2021</v>
      </c>
      <c r="D58" s="60">
        <v>0.4</v>
      </c>
      <c r="E58" s="60">
        <v>75</v>
      </c>
      <c r="F58" s="60">
        <v>50</v>
      </c>
      <c r="G58" s="59">
        <v>27.682300000000001</v>
      </c>
      <c r="H58" s="143"/>
      <c r="I58" s="57" t="s">
        <v>591</v>
      </c>
      <c r="J58" s="65"/>
      <c r="L58" s="64"/>
      <c r="N58" s="52"/>
    </row>
    <row r="59" spans="1:16" ht="17.25" customHeight="1" x14ac:dyDescent="0.25">
      <c r="A59" s="62" t="s">
        <v>563</v>
      </c>
      <c r="B59" s="82" t="s">
        <v>130</v>
      </c>
      <c r="C59" s="60">
        <v>2021</v>
      </c>
      <c r="D59" s="60">
        <v>0.4</v>
      </c>
      <c r="E59" s="60">
        <v>85</v>
      </c>
      <c r="F59" s="60">
        <v>15</v>
      </c>
      <c r="G59" s="59">
        <v>154.65600000000001</v>
      </c>
      <c r="H59" s="143"/>
      <c r="I59" s="57" t="s">
        <v>590</v>
      </c>
      <c r="J59" s="65"/>
      <c r="L59" s="64"/>
      <c r="N59" s="52"/>
    </row>
    <row r="60" spans="1:16" ht="17.25" customHeight="1" x14ac:dyDescent="0.25">
      <c r="A60" s="62" t="s">
        <v>563</v>
      </c>
      <c r="B60" s="82" t="s">
        <v>589</v>
      </c>
      <c r="C60" s="60">
        <v>2021</v>
      </c>
      <c r="D60" s="60">
        <v>0.4</v>
      </c>
      <c r="E60" s="60">
        <v>71</v>
      </c>
      <c r="F60" s="60">
        <v>14</v>
      </c>
      <c r="G60" s="59">
        <v>34.4816</v>
      </c>
      <c r="H60" s="143"/>
      <c r="I60" s="57" t="s">
        <v>588</v>
      </c>
      <c r="J60" s="65"/>
      <c r="L60" s="64"/>
      <c r="N60" s="52"/>
    </row>
    <row r="61" spans="1:16" ht="17.25" customHeight="1" x14ac:dyDescent="0.25">
      <c r="A61" s="62" t="s">
        <v>563</v>
      </c>
      <c r="B61" s="82" t="s">
        <v>587</v>
      </c>
      <c r="C61" s="60">
        <v>2021</v>
      </c>
      <c r="D61" s="60">
        <v>0.4</v>
      </c>
      <c r="E61" s="60">
        <v>72</v>
      </c>
      <c r="F61" s="60">
        <v>14</v>
      </c>
      <c r="G61" s="59">
        <v>12.555999999999999</v>
      </c>
      <c r="H61" s="143"/>
      <c r="I61" s="57" t="s">
        <v>586</v>
      </c>
      <c r="J61" s="65"/>
      <c r="L61" s="64"/>
      <c r="N61" s="52"/>
    </row>
    <row r="62" spans="1:16" ht="17.25" customHeight="1" x14ac:dyDescent="0.25">
      <c r="A62" s="62" t="s">
        <v>564</v>
      </c>
      <c r="B62" s="82" t="s">
        <v>585</v>
      </c>
      <c r="C62" s="60">
        <v>2021</v>
      </c>
      <c r="D62" s="60">
        <v>0.4</v>
      </c>
      <c r="E62" s="60">
        <v>367</v>
      </c>
      <c r="F62" s="60">
        <v>60</v>
      </c>
      <c r="G62" s="59">
        <v>244.22300000000001</v>
      </c>
      <c r="H62" s="143"/>
      <c r="I62" s="57" t="s">
        <v>584</v>
      </c>
      <c r="J62" s="65"/>
      <c r="L62" s="64"/>
      <c r="N62" s="52"/>
    </row>
    <row r="63" spans="1:16" ht="17.25" customHeight="1" x14ac:dyDescent="0.25">
      <c r="A63" s="62" t="s">
        <v>564</v>
      </c>
      <c r="B63" s="82" t="s">
        <v>583</v>
      </c>
      <c r="C63" s="60">
        <v>2021</v>
      </c>
      <c r="D63" s="60">
        <v>0.4</v>
      </c>
      <c r="E63" s="60">
        <v>220</v>
      </c>
      <c r="F63" s="60">
        <v>45</v>
      </c>
      <c r="G63" s="59">
        <v>71.641000000000005</v>
      </c>
      <c r="H63" s="143"/>
      <c r="I63" s="57" t="s">
        <v>582</v>
      </c>
      <c r="J63" s="65"/>
      <c r="L63" s="64"/>
      <c r="N63" s="52"/>
    </row>
    <row r="64" spans="1:16" ht="17.25" customHeight="1" x14ac:dyDescent="0.25">
      <c r="A64" s="62" t="s">
        <v>563</v>
      </c>
      <c r="B64" s="82" t="s">
        <v>150</v>
      </c>
      <c r="C64" s="60">
        <v>2021</v>
      </c>
      <c r="D64" s="60">
        <v>0.4</v>
      </c>
      <c r="E64" s="60">
        <v>178</v>
      </c>
      <c r="F64" s="60">
        <v>15</v>
      </c>
      <c r="G64" s="59">
        <v>72.457300000000004</v>
      </c>
      <c r="H64" s="143"/>
      <c r="I64" s="57" t="s">
        <v>581</v>
      </c>
      <c r="J64" s="65"/>
      <c r="L64" s="64"/>
      <c r="N64" s="52"/>
    </row>
    <row r="65" spans="1:14" ht="17.25" customHeight="1" x14ac:dyDescent="0.25">
      <c r="A65" s="62" t="s">
        <v>565</v>
      </c>
      <c r="B65" s="82" t="s">
        <v>514</v>
      </c>
      <c r="C65" s="60">
        <v>2021</v>
      </c>
      <c r="D65" s="60">
        <v>0.4</v>
      </c>
      <c r="E65" s="60">
        <v>156</v>
      </c>
      <c r="F65" s="60">
        <v>100</v>
      </c>
      <c r="G65" s="59">
        <v>580.70000000000005</v>
      </c>
      <c r="H65" s="143"/>
      <c r="I65" s="57" t="s">
        <v>361</v>
      </c>
      <c r="J65" s="65"/>
      <c r="L65" s="64"/>
      <c r="N65" s="52"/>
    </row>
    <row r="66" spans="1:14" ht="17.25" customHeight="1" x14ac:dyDescent="0.25">
      <c r="A66" s="62" t="s">
        <v>563</v>
      </c>
      <c r="B66" s="82" t="s">
        <v>580</v>
      </c>
      <c r="C66" s="60">
        <v>2021</v>
      </c>
      <c r="D66" s="60">
        <v>0.4</v>
      </c>
      <c r="E66" s="45">
        <v>264</v>
      </c>
      <c r="F66" s="60">
        <v>30</v>
      </c>
      <c r="G66" s="59">
        <v>140.744</v>
      </c>
      <c r="H66" s="143"/>
      <c r="I66" s="57" t="s">
        <v>579</v>
      </c>
      <c r="J66" s="65"/>
      <c r="L66" s="64"/>
      <c r="N66" s="52"/>
    </row>
    <row r="67" spans="1:14" ht="17.25" customHeight="1" x14ac:dyDescent="0.25">
      <c r="A67" s="62" t="s">
        <v>564</v>
      </c>
      <c r="B67" s="82" t="s">
        <v>578</v>
      </c>
      <c r="C67" s="60">
        <v>2021</v>
      </c>
      <c r="D67" s="60">
        <v>0.4</v>
      </c>
      <c r="E67" s="45">
        <v>145</v>
      </c>
      <c r="F67" s="60">
        <v>60</v>
      </c>
      <c r="G67" s="59">
        <v>155.47999999999999</v>
      </c>
      <c r="H67" s="143"/>
      <c r="I67" s="57" t="s">
        <v>577</v>
      </c>
      <c r="J67" s="65"/>
      <c r="L67" s="64"/>
      <c r="N67" s="52"/>
    </row>
    <row r="68" spans="1:14" ht="17.25" customHeight="1" x14ac:dyDescent="0.25">
      <c r="A68" s="62" t="s">
        <v>564</v>
      </c>
      <c r="B68" s="82" t="s">
        <v>405</v>
      </c>
      <c r="C68" s="60">
        <v>2021</v>
      </c>
      <c r="D68" s="60">
        <v>0.4</v>
      </c>
      <c r="E68" s="45">
        <v>95</v>
      </c>
      <c r="F68" s="60">
        <v>70</v>
      </c>
      <c r="G68" s="59">
        <v>65.470399999999998</v>
      </c>
      <c r="H68" s="143"/>
      <c r="I68" s="57" t="s">
        <v>404</v>
      </c>
      <c r="J68" s="65"/>
      <c r="L68" s="64"/>
      <c r="N68" s="52"/>
    </row>
    <row r="69" spans="1:14" ht="17.25" customHeight="1" x14ac:dyDescent="0.25">
      <c r="A69" s="62" t="s">
        <v>563</v>
      </c>
      <c r="B69" s="82" t="s">
        <v>576</v>
      </c>
      <c r="C69" s="60">
        <v>2021</v>
      </c>
      <c r="D69" s="60">
        <v>0.4</v>
      </c>
      <c r="E69" s="45">
        <v>284</v>
      </c>
      <c r="F69" s="60">
        <v>25</v>
      </c>
      <c r="G69" s="59">
        <v>206.99700000000001</v>
      </c>
      <c r="H69" s="143"/>
      <c r="I69" s="57" t="s">
        <v>575</v>
      </c>
      <c r="J69" s="65"/>
      <c r="L69" s="64"/>
      <c r="N69" s="52"/>
    </row>
    <row r="70" spans="1:14" ht="17.25" customHeight="1" x14ac:dyDescent="0.25">
      <c r="A70" s="62" t="s">
        <v>564</v>
      </c>
      <c r="B70" s="82" t="s">
        <v>574</v>
      </c>
      <c r="C70" s="60">
        <v>2021</v>
      </c>
      <c r="D70" s="60">
        <v>0.4</v>
      </c>
      <c r="E70" s="45">
        <v>409</v>
      </c>
      <c r="F70" s="60">
        <v>5</v>
      </c>
      <c r="G70" s="59">
        <v>442.49599999999998</v>
      </c>
      <c r="H70" s="143"/>
      <c r="I70" s="57" t="s">
        <v>573</v>
      </c>
      <c r="J70" s="65"/>
      <c r="L70" s="64"/>
      <c r="N70" s="52"/>
    </row>
    <row r="71" spans="1:14" ht="17.25" customHeight="1" x14ac:dyDescent="0.25">
      <c r="A71" s="62" t="s">
        <v>563</v>
      </c>
      <c r="B71" s="83" t="s">
        <v>121</v>
      </c>
      <c r="C71" s="45">
        <v>2022</v>
      </c>
      <c r="D71" s="60">
        <v>0.4</v>
      </c>
      <c r="E71" s="45">
        <v>69</v>
      </c>
      <c r="F71" s="60">
        <v>15</v>
      </c>
      <c r="G71" s="59">
        <v>13.256209999999999</v>
      </c>
      <c r="H71" s="148"/>
      <c r="I71" s="57"/>
      <c r="J71" s="58"/>
      <c r="L71" s="57"/>
      <c r="N71" s="52"/>
    </row>
    <row r="72" spans="1:14" ht="17.25" customHeight="1" x14ac:dyDescent="0.25">
      <c r="A72" s="62" t="s">
        <v>563</v>
      </c>
      <c r="B72" s="83" t="s">
        <v>120</v>
      </c>
      <c r="C72" s="60">
        <v>2022</v>
      </c>
      <c r="D72" s="60">
        <v>0.4</v>
      </c>
      <c r="E72" s="45">
        <v>115</v>
      </c>
      <c r="F72" s="60">
        <v>15</v>
      </c>
      <c r="G72" s="59">
        <v>138.34119000000001</v>
      </c>
      <c r="H72" s="143"/>
      <c r="I72" s="57"/>
      <c r="J72" s="58"/>
      <c r="L72" s="57"/>
      <c r="N72" s="52"/>
    </row>
    <row r="73" spans="1:14" ht="17.25" customHeight="1" x14ac:dyDescent="0.25">
      <c r="A73" s="62" t="s">
        <v>563</v>
      </c>
      <c r="B73" s="83" t="s">
        <v>684</v>
      </c>
      <c r="C73" s="60">
        <v>2022</v>
      </c>
      <c r="D73" s="60">
        <v>0.4</v>
      </c>
      <c r="E73" s="337">
        <v>122</v>
      </c>
      <c r="F73" s="340">
        <v>9</v>
      </c>
      <c r="G73" s="59">
        <v>36.312186666666669</v>
      </c>
      <c r="H73" s="143"/>
      <c r="I73" s="57"/>
      <c r="J73" s="58"/>
      <c r="L73" s="57"/>
      <c r="N73" s="52"/>
    </row>
    <row r="74" spans="1:14" ht="17.25" customHeight="1" x14ac:dyDescent="0.25">
      <c r="A74" s="62" t="s">
        <v>563</v>
      </c>
      <c r="B74" s="83" t="s">
        <v>684</v>
      </c>
      <c r="C74" s="60">
        <v>2022</v>
      </c>
      <c r="D74" s="60">
        <v>0.4</v>
      </c>
      <c r="E74" s="338"/>
      <c r="F74" s="341"/>
      <c r="G74" s="59">
        <v>36.312186666666669</v>
      </c>
      <c r="H74" s="143"/>
      <c r="I74" s="57"/>
      <c r="J74" s="58"/>
      <c r="L74" s="57"/>
      <c r="N74" s="52"/>
    </row>
    <row r="75" spans="1:14" ht="17.25" customHeight="1" x14ac:dyDescent="0.25">
      <c r="A75" s="62" t="s">
        <v>563</v>
      </c>
      <c r="B75" s="83" t="s">
        <v>684</v>
      </c>
      <c r="C75" s="60">
        <v>2022</v>
      </c>
      <c r="D75" s="60">
        <v>0.4</v>
      </c>
      <c r="E75" s="339"/>
      <c r="F75" s="342"/>
      <c r="G75" s="59">
        <v>36.312186666666669</v>
      </c>
      <c r="H75" s="143"/>
      <c r="I75" s="57"/>
      <c r="J75" s="58"/>
      <c r="L75" s="57"/>
      <c r="N75" s="52"/>
    </row>
    <row r="76" spans="1:14" ht="17.25" customHeight="1" x14ac:dyDescent="0.25">
      <c r="A76" s="62" t="s">
        <v>563</v>
      </c>
      <c r="B76" s="83" t="s">
        <v>571</v>
      </c>
      <c r="C76" s="60">
        <v>2022</v>
      </c>
      <c r="D76" s="60">
        <v>0.4</v>
      </c>
      <c r="E76" s="60">
        <v>191</v>
      </c>
      <c r="F76" s="60">
        <v>15</v>
      </c>
      <c r="G76" s="59">
        <v>128.04181</v>
      </c>
      <c r="H76" s="143"/>
      <c r="I76" s="57"/>
      <c r="J76" s="58"/>
      <c r="L76" s="57"/>
      <c r="N76" s="52"/>
    </row>
    <row r="77" spans="1:14" ht="17.25" customHeight="1" x14ac:dyDescent="0.25">
      <c r="A77" s="62" t="s">
        <v>564</v>
      </c>
      <c r="B77" s="83" t="s">
        <v>395</v>
      </c>
      <c r="C77" s="60">
        <v>2022</v>
      </c>
      <c r="D77" s="60">
        <v>0.4</v>
      </c>
      <c r="E77" s="340">
        <v>236</v>
      </c>
      <c r="F77" s="340">
        <v>100</v>
      </c>
      <c r="G77" s="59">
        <v>32.056235999999998</v>
      </c>
      <c r="H77" s="143"/>
      <c r="I77" s="57"/>
      <c r="J77" s="58"/>
      <c r="L77" s="57"/>
      <c r="N77" s="52"/>
    </row>
    <row r="78" spans="1:14" ht="17.25" customHeight="1" x14ac:dyDescent="0.25">
      <c r="A78" s="62" t="s">
        <v>564</v>
      </c>
      <c r="B78" s="83" t="s">
        <v>395</v>
      </c>
      <c r="C78" s="60">
        <v>2022</v>
      </c>
      <c r="D78" s="60">
        <v>0.4</v>
      </c>
      <c r="E78" s="342"/>
      <c r="F78" s="342"/>
      <c r="G78" s="59">
        <v>32.056235999999998</v>
      </c>
      <c r="H78" s="143"/>
      <c r="I78" s="57"/>
      <c r="J78" s="58"/>
      <c r="L78" s="57"/>
      <c r="N78" s="52"/>
    </row>
    <row r="79" spans="1:14" ht="17.25" customHeight="1" x14ac:dyDescent="0.25">
      <c r="A79" s="62" t="s">
        <v>563</v>
      </c>
      <c r="B79" s="83" t="s">
        <v>119</v>
      </c>
      <c r="C79" s="60">
        <v>2022</v>
      </c>
      <c r="D79" s="60">
        <v>0.4</v>
      </c>
      <c r="E79" s="340">
        <v>68</v>
      </c>
      <c r="F79" s="340">
        <v>22</v>
      </c>
      <c r="G79" s="59">
        <v>2.2922640000000003</v>
      </c>
      <c r="H79" s="143"/>
      <c r="I79" s="57"/>
      <c r="J79" s="58"/>
      <c r="L79" s="57"/>
      <c r="N79" s="52"/>
    </row>
    <row r="80" spans="1:14" ht="17.25" customHeight="1" x14ac:dyDescent="0.25">
      <c r="A80" s="62" t="s">
        <v>563</v>
      </c>
      <c r="B80" s="83" t="s">
        <v>119</v>
      </c>
      <c r="C80" s="60">
        <v>2022</v>
      </c>
      <c r="D80" s="60">
        <v>0.4</v>
      </c>
      <c r="E80" s="341"/>
      <c r="F80" s="341"/>
      <c r="G80" s="59">
        <v>2.2922640000000003</v>
      </c>
      <c r="H80" s="143"/>
      <c r="I80" s="57"/>
      <c r="J80" s="58"/>
      <c r="L80" s="57"/>
      <c r="N80" s="52"/>
    </row>
    <row r="81" spans="1:14" ht="17.25" customHeight="1" x14ac:dyDescent="0.25">
      <c r="A81" s="62" t="s">
        <v>563</v>
      </c>
      <c r="B81" s="83" t="s">
        <v>118</v>
      </c>
      <c r="C81" s="60">
        <v>2022</v>
      </c>
      <c r="D81" s="60">
        <v>0.4</v>
      </c>
      <c r="E81" s="341"/>
      <c r="F81" s="341"/>
      <c r="G81" s="59">
        <v>2.2922640000000003</v>
      </c>
      <c r="H81" s="143"/>
      <c r="I81" s="57"/>
      <c r="J81" s="58"/>
      <c r="L81" s="57"/>
      <c r="N81" s="52"/>
    </row>
    <row r="82" spans="1:14" ht="17.25" customHeight="1" x14ac:dyDescent="0.25">
      <c r="A82" s="62" t="s">
        <v>563</v>
      </c>
      <c r="B82" s="83" t="s">
        <v>117</v>
      </c>
      <c r="C82" s="60">
        <v>2022</v>
      </c>
      <c r="D82" s="60">
        <v>0.4</v>
      </c>
      <c r="E82" s="341"/>
      <c r="F82" s="341"/>
      <c r="G82" s="59">
        <v>2.2922640000000003</v>
      </c>
      <c r="H82" s="143"/>
      <c r="I82" s="57"/>
      <c r="J82" s="58"/>
      <c r="L82" s="57"/>
      <c r="N82" s="52"/>
    </row>
    <row r="83" spans="1:14" ht="17.25" customHeight="1" x14ac:dyDescent="0.25">
      <c r="A83" s="62" t="s">
        <v>563</v>
      </c>
      <c r="B83" s="83" t="s">
        <v>393</v>
      </c>
      <c r="C83" s="60">
        <v>2022</v>
      </c>
      <c r="D83" s="60">
        <v>0.4</v>
      </c>
      <c r="E83" s="342"/>
      <c r="F83" s="342"/>
      <c r="G83" s="59">
        <v>2.2922640000000003</v>
      </c>
      <c r="H83" s="143"/>
      <c r="I83" s="57"/>
      <c r="J83" s="58"/>
      <c r="L83" s="57"/>
      <c r="N83" s="52"/>
    </row>
    <row r="84" spans="1:14" ht="17.25" customHeight="1" x14ac:dyDescent="0.25">
      <c r="A84" s="62" t="s">
        <v>563</v>
      </c>
      <c r="B84" s="83" t="s">
        <v>391</v>
      </c>
      <c r="C84" s="60">
        <v>2022</v>
      </c>
      <c r="D84" s="60">
        <v>0.4</v>
      </c>
      <c r="E84" s="45">
        <v>41</v>
      </c>
      <c r="F84" s="60">
        <v>5</v>
      </c>
      <c r="G84" s="59">
        <v>91.919070000000005</v>
      </c>
      <c r="H84" s="143"/>
      <c r="I84" s="57"/>
      <c r="J84" s="58"/>
      <c r="L84" s="57"/>
      <c r="N84" s="52"/>
    </row>
    <row r="85" spans="1:14" ht="17.25" customHeight="1" x14ac:dyDescent="0.25">
      <c r="A85" s="62" t="s">
        <v>685</v>
      </c>
      <c r="B85" s="83" t="s">
        <v>570</v>
      </c>
      <c r="C85" s="60">
        <v>2022</v>
      </c>
      <c r="D85" s="60">
        <v>0.4</v>
      </c>
      <c r="E85" s="337">
        <v>448</v>
      </c>
      <c r="F85" s="340">
        <v>30</v>
      </c>
      <c r="G85" s="59">
        <v>648.02440999999999</v>
      </c>
      <c r="H85" s="143"/>
      <c r="I85" s="57"/>
      <c r="J85" s="58"/>
      <c r="L85" s="57"/>
      <c r="N85" s="52"/>
    </row>
    <row r="86" spans="1:14" ht="17.25" customHeight="1" x14ac:dyDescent="0.25">
      <c r="A86" s="62" t="s">
        <v>685</v>
      </c>
      <c r="B86" s="83" t="s">
        <v>115</v>
      </c>
      <c r="C86" s="60">
        <v>2022</v>
      </c>
      <c r="D86" s="60">
        <v>0.4</v>
      </c>
      <c r="E86" s="339"/>
      <c r="F86" s="342"/>
      <c r="G86" s="59">
        <v>648.02440999999999</v>
      </c>
      <c r="H86" s="143"/>
      <c r="I86" s="57"/>
      <c r="J86" s="58"/>
      <c r="L86" s="57"/>
      <c r="N86" s="52"/>
    </row>
    <row r="87" spans="1:14" ht="17.25" customHeight="1" x14ac:dyDescent="0.25">
      <c r="A87" s="62" t="s">
        <v>563</v>
      </c>
      <c r="B87" s="83" t="s">
        <v>114</v>
      </c>
      <c r="C87" s="60">
        <v>2022</v>
      </c>
      <c r="D87" s="45">
        <v>0.4</v>
      </c>
      <c r="E87" s="45">
        <v>123</v>
      </c>
      <c r="F87" s="60">
        <v>15</v>
      </c>
      <c r="G87" s="59">
        <v>56.564900000000002</v>
      </c>
      <c r="H87" s="143"/>
      <c r="I87" s="57"/>
      <c r="J87" s="58"/>
      <c r="L87" s="57"/>
      <c r="N87" s="52"/>
    </row>
    <row r="88" spans="1:14" ht="17.25" customHeight="1" x14ac:dyDescent="0.25">
      <c r="A88" s="62" t="s">
        <v>563</v>
      </c>
      <c r="B88" s="83" t="s">
        <v>113</v>
      </c>
      <c r="C88" s="60">
        <v>2022</v>
      </c>
      <c r="D88" s="45">
        <v>0.4</v>
      </c>
      <c r="E88" s="45">
        <v>46</v>
      </c>
      <c r="F88" s="60">
        <v>15</v>
      </c>
      <c r="G88" s="59">
        <v>8.4797000000000011</v>
      </c>
      <c r="H88" s="143"/>
      <c r="I88" s="57"/>
      <c r="J88" s="58"/>
      <c r="L88" s="57"/>
      <c r="N88" s="52"/>
    </row>
    <row r="89" spans="1:14" ht="17.25" customHeight="1" x14ac:dyDescent="0.25">
      <c r="A89" s="62" t="s">
        <v>564</v>
      </c>
      <c r="B89" s="83" t="s">
        <v>112</v>
      </c>
      <c r="C89" s="60">
        <v>2022</v>
      </c>
      <c r="D89" s="45">
        <v>0.4</v>
      </c>
      <c r="E89" s="45">
        <v>371</v>
      </c>
      <c r="F89" s="60">
        <v>15</v>
      </c>
      <c r="G89" s="59">
        <v>581.23789999999997</v>
      </c>
      <c r="H89" s="143"/>
      <c r="I89" s="57"/>
      <c r="J89" s="58"/>
      <c r="L89" s="57"/>
      <c r="N89" s="52"/>
    </row>
    <row r="90" spans="1:14" ht="17.25" customHeight="1" x14ac:dyDescent="0.25">
      <c r="A90" s="62" t="s">
        <v>563</v>
      </c>
      <c r="B90" s="83" t="s">
        <v>569</v>
      </c>
      <c r="C90" s="60">
        <v>2022</v>
      </c>
      <c r="D90" s="45">
        <v>0.4</v>
      </c>
      <c r="E90" s="337">
        <v>42</v>
      </c>
      <c r="F90" s="340">
        <v>30</v>
      </c>
      <c r="G90" s="59">
        <v>45.409845000000004</v>
      </c>
      <c r="H90" s="143"/>
      <c r="I90" s="57"/>
      <c r="J90" s="58"/>
      <c r="L90" s="57"/>
      <c r="N90" s="52"/>
    </row>
    <row r="91" spans="1:14" ht="17.25" customHeight="1" x14ac:dyDescent="0.25">
      <c r="A91" s="62" t="s">
        <v>563</v>
      </c>
      <c r="B91" s="83" t="s">
        <v>569</v>
      </c>
      <c r="C91" s="60">
        <v>2022</v>
      </c>
      <c r="D91" s="45">
        <v>0.4</v>
      </c>
      <c r="E91" s="339"/>
      <c r="F91" s="342"/>
      <c r="G91" s="59">
        <v>45.409845000000004</v>
      </c>
      <c r="H91" s="143"/>
      <c r="I91" s="57"/>
      <c r="J91" s="58"/>
      <c r="L91" s="57"/>
      <c r="N91" s="52"/>
    </row>
    <row r="92" spans="1:14" ht="17.25" customHeight="1" x14ac:dyDescent="0.25">
      <c r="A92" s="62" t="s">
        <v>563</v>
      </c>
      <c r="B92" s="83" t="s">
        <v>111</v>
      </c>
      <c r="C92" s="60">
        <v>2022</v>
      </c>
      <c r="D92" s="45">
        <v>0.4</v>
      </c>
      <c r="E92" s="45">
        <v>56</v>
      </c>
      <c r="F92" s="60">
        <v>15</v>
      </c>
      <c r="G92" s="59">
        <v>11.063030000000001</v>
      </c>
      <c r="H92" s="143"/>
      <c r="I92" s="57"/>
      <c r="J92" s="58"/>
      <c r="L92" s="57"/>
      <c r="N92" s="52"/>
    </row>
    <row r="93" spans="1:14" ht="17.25" customHeight="1" x14ac:dyDescent="0.25">
      <c r="A93" s="62" t="s">
        <v>563</v>
      </c>
      <c r="B93" s="83" t="s">
        <v>110</v>
      </c>
      <c r="C93" s="60">
        <v>2022</v>
      </c>
      <c r="D93" s="45">
        <v>0.4</v>
      </c>
      <c r="E93" s="45">
        <v>147</v>
      </c>
      <c r="F93" s="60">
        <v>15</v>
      </c>
      <c r="G93" s="59">
        <v>258.78611000000001</v>
      </c>
      <c r="H93" s="143"/>
      <c r="I93" s="57"/>
      <c r="J93" s="58"/>
      <c r="L93" s="57"/>
      <c r="N93" s="52"/>
    </row>
    <row r="94" spans="1:14" ht="17.25" customHeight="1" x14ac:dyDescent="0.25">
      <c r="A94" s="62" t="s">
        <v>563</v>
      </c>
      <c r="B94" s="83" t="s">
        <v>109</v>
      </c>
      <c r="C94" s="60">
        <v>2022</v>
      </c>
      <c r="D94" s="45">
        <v>0.4</v>
      </c>
      <c r="E94" s="45">
        <v>100</v>
      </c>
      <c r="F94" s="60">
        <v>15</v>
      </c>
      <c r="G94" s="59">
        <v>22.181999999999999</v>
      </c>
      <c r="H94" s="143"/>
      <c r="I94" s="57"/>
      <c r="J94" s="58"/>
      <c r="L94" s="57"/>
      <c r="N94" s="52"/>
    </row>
    <row r="95" spans="1:14" ht="17.25" customHeight="1" x14ac:dyDescent="0.25">
      <c r="A95" s="62" t="s">
        <v>563</v>
      </c>
      <c r="B95" s="83" t="s">
        <v>394</v>
      </c>
      <c r="C95" s="60">
        <v>2022</v>
      </c>
      <c r="D95" s="60">
        <v>0.4</v>
      </c>
      <c r="E95" s="60">
        <v>57.5</v>
      </c>
      <c r="F95" s="60">
        <v>5</v>
      </c>
      <c r="G95" s="59">
        <v>124.84019000000001</v>
      </c>
      <c r="H95" s="143"/>
      <c r="I95" s="57"/>
      <c r="J95" s="58"/>
      <c r="L95" s="57"/>
      <c r="N95" s="52"/>
    </row>
    <row r="96" spans="1:14" ht="17.25" customHeight="1" x14ac:dyDescent="0.25">
      <c r="A96" s="62" t="s">
        <v>563</v>
      </c>
      <c r="B96" s="83" t="s">
        <v>568</v>
      </c>
      <c r="C96" s="60">
        <v>2022</v>
      </c>
      <c r="D96" s="60">
        <v>0.4</v>
      </c>
      <c r="E96" s="340">
        <v>104</v>
      </c>
      <c r="F96" s="340">
        <v>30</v>
      </c>
      <c r="G96" s="59">
        <v>35.048221666666663</v>
      </c>
      <c r="H96" s="143"/>
      <c r="I96" s="57"/>
      <c r="J96" s="58"/>
      <c r="L96" s="57"/>
      <c r="N96" s="52"/>
    </row>
    <row r="97" spans="1:16" ht="17.25" customHeight="1" x14ac:dyDescent="0.25">
      <c r="A97" s="62" t="s">
        <v>563</v>
      </c>
      <c r="B97" s="83" t="s">
        <v>568</v>
      </c>
      <c r="C97" s="60">
        <v>2022</v>
      </c>
      <c r="D97" s="60">
        <v>0.4</v>
      </c>
      <c r="E97" s="341"/>
      <c r="F97" s="341"/>
      <c r="G97" s="59">
        <v>35.048221666666663</v>
      </c>
      <c r="H97" s="143"/>
      <c r="I97" s="57"/>
      <c r="J97" s="58"/>
      <c r="L97" s="57"/>
      <c r="N97" s="52"/>
    </row>
    <row r="98" spans="1:16" ht="17.25" customHeight="1" x14ac:dyDescent="0.25">
      <c r="A98" s="62" t="s">
        <v>563</v>
      </c>
      <c r="B98" s="83" t="s">
        <v>568</v>
      </c>
      <c r="C98" s="60">
        <v>2022</v>
      </c>
      <c r="D98" s="60">
        <v>0.4</v>
      </c>
      <c r="E98" s="341"/>
      <c r="F98" s="341"/>
      <c r="G98" s="59">
        <v>35.048221666666663</v>
      </c>
      <c r="H98" s="143"/>
      <c r="I98" s="57"/>
      <c r="J98" s="58"/>
      <c r="L98" s="57"/>
      <c r="N98" s="52"/>
    </row>
    <row r="99" spans="1:16" ht="17.25" customHeight="1" x14ac:dyDescent="0.25">
      <c r="A99" s="62" t="s">
        <v>563</v>
      </c>
      <c r="B99" s="83" t="s">
        <v>568</v>
      </c>
      <c r="C99" s="60">
        <v>2022</v>
      </c>
      <c r="D99" s="60">
        <v>0.4</v>
      </c>
      <c r="E99" s="341"/>
      <c r="F99" s="341"/>
      <c r="G99" s="59">
        <v>35.048221666666663</v>
      </c>
      <c r="H99" s="143"/>
      <c r="I99" s="57"/>
      <c r="J99" s="58"/>
      <c r="L99" s="57"/>
      <c r="N99" s="52"/>
    </row>
    <row r="100" spans="1:16" ht="17.25" customHeight="1" x14ac:dyDescent="0.25">
      <c r="A100" s="62" t="s">
        <v>563</v>
      </c>
      <c r="B100" s="83" t="s">
        <v>568</v>
      </c>
      <c r="C100" s="60">
        <v>2022</v>
      </c>
      <c r="D100" s="60">
        <v>0.4</v>
      </c>
      <c r="E100" s="341"/>
      <c r="F100" s="341"/>
      <c r="G100" s="59">
        <v>35.048221666666663</v>
      </c>
      <c r="H100" s="143"/>
      <c r="I100" s="57"/>
      <c r="J100" s="58"/>
      <c r="L100" s="57"/>
      <c r="N100" s="52"/>
    </row>
    <row r="101" spans="1:16" ht="17.25" customHeight="1" x14ac:dyDescent="0.25">
      <c r="A101" s="62" t="s">
        <v>563</v>
      </c>
      <c r="B101" s="83" t="s">
        <v>568</v>
      </c>
      <c r="C101" s="60">
        <v>2022</v>
      </c>
      <c r="D101" s="60">
        <v>0.4</v>
      </c>
      <c r="E101" s="342"/>
      <c r="F101" s="342"/>
      <c r="G101" s="59">
        <v>35.048221666666663</v>
      </c>
      <c r="H101" s="143"/>
      <c r="I101" s="57"/>
      <c r="J101" s="58"/>
      <c r="L101" s="57"/>
      <c r="N101" s="52"/>
    </row>
    <row r="102" spans="1:16" ht="17.25" customHeight="1" x14ac:dyDescent="0.25">
      <c r="A102" s="62" t="s">
        <v>563</v>
      </c>
      <c r="B102" s="83" t="s">
        <v>108</v>
      </c>
      <c r="C102" s="60">
        <v>2022</v>
      </c>
      <c r="D102" s="60">
        <v>0.4</v>
      </c>
      <c r="E102" s="60">
        <v>79</v>
      </c>
      <c r="F102" s="60">
        <v>15</v>
      </c>
      <c r="G102" s="59">
        <v>145.10855000000001</v>
      </c>
      <c r="H102" s="143"/>
      <c r="I102" s="57"/>
      <c r="J102" s="58"/>
      <c r="L102" s="57"/>
      <c r="N102" s="52"/>
    </row>
    <row r="103" spans="1:16" ht="17.25" customHeight="1" x14ac:dyDescent="0.25">
      <c r="A103" s="62" t="s">
        <v>564</v>
      </c>
      <c r="B103" s="83" t="s">
        <v>107</v>
      </c>
      <c r="C103" s="60">
        <v>2022</v>
      </c>
      <c r="D103" s="60">
        <v>0.4</v>
      </c>
      <c r="E103" s="340">
        <v>552</v>
      </c>
      <c r="F103" s="340">
        <v>60</v>
      </c>
      <c r="G103" s="59">
        <v>154.34442249999998</v>
      </c>
      <c r="H103" s="143"/>
      <c r="I103" s="57"/>
      <c r="J103" s="58"/>
      <c r="L103" s="57"/>
      <c r="N103" s="52"/>
    </row>
    <row r="104" spans="1:16" ht="17.25" customHeight="1" x14ac:dyDescent="0.25">
      <c r="A104" s="62" t="s">
        <v>564</v>
      </c>
      <c r="B104" s="83" t="s">
        <v>106</v>
      </c>
      <c r="C104" s="60">
        <v>2022</v>
      </c>
      <c r="D104" s="60">
        <v>0.4</v>
      </c>
      <c r="E104" s="341"/>
      <c r="F104" s="341"/>
      <c r="G104" s="59">
        <v>154.34442249999998</v>
      </c>
      <c r="H104" s="143"/>
      <c r="I104" s="57"/>
      <c r="J104" s="58"/>
      <c r="L104" s="57"/>
      <c r="N104" s="52"/>
    </row>
    <row r="105" spans="1:16" ht="17.25" customHeight="1" x14ac:dyDescent="0.25">
      <c r="A105" s="62" t="s">
        <v>564</v>
      </c>
      <c r="B105" s="83" t="s">
        <v>105</v>
      </c>
      <c r="C105" s="60">
        <v>2022</v>
      </c>
      <c r="D105" s="60">
        <v>0.4</v>
      </c>
      <c r="E105" s="341"/>
      <c r="F105" s="341"/>
      <c r="G105" s="59">
        <v>154.34442249999998</v>
      </c>
      <c r="H105" s="143"/>
      <c r="I105" s="57"/>
      <c r="J105" s="58"/>
      <c r="L105" s="57"/>
      <c r="N105" s="52"/>
    </row>
    <row r="106" spans="1:16" ht="17.25" customHeight="1" x14ac:dyDescent="0.25">
      <c r="A106" s="62" t="s">
        <v>564</v>
      </c>
      <c r="B106" s="83" t="s">
        <v>104</v>
      </c>
      <c r="C106" s="60">
        <v>2022</v>
      </c>
      <c r="D106" s="60">
        <v>0.4</v>
      </c>
      <c r="E106" s="342"/>
      <c r="F106" s="342"/>
      <c r="G106" s="59">
        <v>154.34442249999998</v>
      </c>
      <c r="H106" s="143"/>
      <c r="I106" s="57"/>
      <c r="J106" s="58"/>
      <c r="L106" s="57"/>
      <c r="N106" s="52"/>
    </row>
    <row r="107" spans="1:16" ht="17.25" customHeight="1" x14ac:dyDescent="0.25">
      <c r="A107" s="84" t="s">
        <v>563</v>
      </c>
      <c r="B107" s="83" t="s">
        <v>103</v>
      </c>
      <c r="C107" s="45">
        <v>2022</v>
      </c>
      <c r="D107" s="45">
        <v>0.4</v>
      </c>
      <c r="E107" s="45">
        <v>45</v>
      </c>
      <c r="F107" s="45">
        <v>15</v>
      </c>
      <c r="G107" s="53">
        <v>28.080620000000003</v>
      </c>
      <c r="H107" s="143"/>
      <c r="I107" s="57"/>
      <c r="J107" s="58"/>
      <c r="L107" s="57"/>
      <c r="N107" s="52"/>
    </row>
    <row r="108" spans="1:16" ht="17.25" customHeight="1" x14ac:dyDescent="0.25">
      <c r="A108" s="84" t="s">
        <v>564</v>
      </c>
      <c r="B108" s="83" t="s">
        <v>102</v>
      </c>
      <c r="C108" s="45">
        <v>2022</v>
      </c>
      <c r="D108" s="45">
        <v>0.4</v>
      </c>
      <c r="E108" s="45">
        <v>95</v>
      </c>
      <c r="F108" s="45">
        <v>15</v>
      </c>
      <c r="G108" s="53">
        <v>36.26896</v>
      </c>
      <c r="H108" s="143"/>
      <c r="I108" s="57"/>
      <c r="J108" s="58"/>
      <c r="L108" s="57"/>
      <c r="N108" s="52"/>
    </row>
    <row r="109" spans="1:16" ht="17.25" customHeight="1" thickBot="1" x14ac:dyDescent="0.3">
      <c r="A109" s="84" t="s">
        <v>563</v>
      </c>
      <c r="B109" s="83" t="s">
        <v>686</v>
      </c>
      <c r="C109" s="45">
        <v>2022</v>
      </c>
      <c r="D109" s="45">
        <v>0.4</v>
      </c>
      <c r="E109" s="45">
        <v>306</v>
      </c>
      <c r="F109" s="45">
        <v>8</v>
      </c>
      <c r="G109" s="53">
        <v>153.31413000000001</v>
      </c>
      <c r="H109" s="143"/>
      <c r="I109" s="57"/>
      <c r="J109" s="58"/>
      <c r="L109" s="57"/>
      <c r="N109" s="52"/>
    </row>
    <row r="110" spans="1:16" ht="17.25" customHeight="1" thickBot="1" x14ac:dyDescent="0.3">
      <c r="A110" s="84" t="s">
        <v>564</v>
      </c>
      <c r="B110" s="83" t="s">
        <v>686</v>
      </c>
      <c r="C110" s="45">
        <v>2022</v>
      </c>
      <c r="D110" s="45">
        <v>6</v>
      </c>
      <c r="E110" s="45">
        <v>332</v>
      </c>
      <c r="F110" s="45">
        <v>376</v>
      </c>
      <c r="G110" s="53">
        <v>19.300729787234044</v>
      </c>
      <c r="H110" s="143"/>
      <c r="I110" s="57"/>
      <c r="J110" s="58"/>
      <c r="L110" s="162">
        <f>SUBTOTAL(9,F30:F149)</f>
        <v>4514.3999999999996</v>
      </c>
      <c r="M110" s="163">
        <v>1859.4</v>
      </c>
      <c r="N110" s="164" t="s">
        <v>740</v>
      </c>
      <c r="O110" s="163"/>
      <c r="P110" s="165"/>
    </row>
    <row r="111" spans="1:16" ht="17.25" customHeight="1" x14ac:dyDescent="0.25">
      <c r="A111" s="84" t="s">
        <v>563</v>
      </c>
      <c r="B111" s="83" t="s">
        <v>101</v>
      </c>
      <c r="C111" s="45">
        <v>2022</v>
      </c>
      <c r="D111" s="45">
        <v>0.4</v>
      </c>
      <c r="E111" s="45"/>
      <c r="F111" s="45">
        <v>15</v>
      </c>
      <c r="G111" s="53">
        <v>8.8737300000000001</v>
      </c>
      <c r="H111" s="143"/>
      <c r="I111" s="57"/>
      <c r="J111" s="58"/>
      <c r="L111" s="57"/>
      <c r="N111" s="52"/>
    </row>
    <row r="112" spans="1:16" ht="17.25" customHeight="1" x14ac:dyDescent="0.25">
      <c r="A112" s="84" t="s">
        <v>564</v>
      </c>
      <c r="B112" s="83" t="s">
        <v>100</v>
      </c>
      <c r="C112" s="45">
        <v>2022</v>
      </c>
      <c r="D112" s="45">
        <v>0.4</v>
      </c>
      <c r="E112" s="337">
        <v>384</v>
      </c>
      <c r="F112" s="337">
        <v>60</v>
      </c>
      <c r="G112" s="53">
        <v>69.66122</v>
      </c>
      <c r="H112" s="143"/>
      <c r="I112" s="57"/>
      <c r="J112" s="58"/>
      <c r="L112" s="57"/>
      <c r="N112" s="52"/>
    </row>
    <row r="113" spans="1:14" ht="17.25" customHeight="1" x14ac:dyDescent="0.25">
      <c r="A113" s="62" t="s">
        <v>564</v>
      </c>
      <c r="B113" s="61" t="s">
        <v>99</v>
      </c>
      <c r="C113" s="60">
        <v>2022</v>
      </c>
      <c r="D113" s="60">
        <v>0.4</v>
      </c>
      <c r="E113" s="339"/>
      <c r="F113" s="339"/>
      <c r="G113" s="59">
        <v>69.66122</v>
      </c>
      <c r="H113" s="143"/>
      <c r="I113" s="57"/>
      <c r="J113" s="58"/>
      <c r="L113" s="57"/>
      <c r="N113" s="52"/>
    </row>
    <row r="114" spans="1:14" ht="17.25" customHeight="1" x14ac:dyDescent="0.25">
      <c r="A114" s="62" t="s">
        <v>564</v>
      </c>
      <c r="B114" s="61" t="s">
        <v>99</v>
      </c>
      <c r="C114" s="60">
        <v>2022</v>
      </c>
      <c r="D114" s="60">
        <v>0.4</v>
      </c>
      <c r="E114" s="60">
        <v>150</v>
      </c>
      <c r="F114" s="60">
        <v>15</v>
      </c>
      <c r="G114" s="59">
        <v>261.86140999999998</v>
      </c>
      <c r="H114" s="143"/>
      <c r="I114" s="57"/>
      <c r="J114" s="58"/>
      <c r="L114" s="57"/>
      <c r="N114" s="52"/>
    </row>
    <row r="115" spans="1:14" ht="17.25" customHeight="1" x14ac:dyDescent="0.25">
      <c r="A115" s="62" t="s">
        <v>563</v>
      </c>
      <c r="B115" s="61" t="s">
        <v>98</v>
      </c>
      <c r="C115" s="60">
        <v>2022</v>
      </c>
      <c r="D115" s="60">
        <v>0.4</v>
      </c>
      <c r="E115" s="340">
        <v>105</v>
      </c>
      <c r="F115" s="340">
        <v>30</v>
      </c>
      <c r="G115" s="59">
        <v>111.149305</v>
      </c>
      <c r="H115" s="143"/>
      <c r="I115" s="57"/>
      <c r="J115" s="58"/>
      <c r="L115" s="57"/>
      <c r="N115" s="52"/>
    </row>
    <row r="116" spans="1:14" ht="17.25" customHeight="1" x14ac:dyDescent="0.25">
      <c r="A116" s="62" t="s">
        <v>563</v>
      </c>
      <c r="B116" s="61" t="s">
        <v>97</v>
      </c>
      <c r="C116" s="60">
        <v>2022</v>
      </c>
      <c r="D116" s="60">
        <v>0.4</v>
      </c>
      <c r="E116" s="342"/>
      <c r="F116" s="342"/>
      <c r="G116" s="59">
        <v>111.149305</v>
      </c>
      <c r="H116" s="143"/>
      <c r="I116" s="57"/>
      <c r="J116" s="58"/>
      <c r="L116" s="57"/>
      <c r="N116" s="52"/>
    </row>
    <row r="117" spans="1:14" ht="17.25" customHeight="1" x14ac:dyDescent="0.25">
      <c r="A117" s="62" t="s">
        <v>564</v>
      </c>
      <c r="B117" s="61" t="s">
        <v>98</v>
      </c>
      <c r="C117" s="60">
        <v>2022</v>
      </c>
      <c r="D117" s="60">
        <v>10</v>
      </c>
      <c r="E117" s="340">
        <v>692</v>
      </c>
      <c r="F117" s="340">
        <v>93</v>
      </c>
      <c r="G117" s="59">
        <v>164.16344838709679</v>
      </c>
      <c r="H117" s="143"/>
      <c r="I117" s="57"/>
      <c r="J117" s="58"/>
      <c r="L117" s="57"/>
      <c r="N117" s="52"/>
    </row>
    <row r="118" spans="1:14" ht="17.25" customHeight="1" x14ac:dyDescent="0.25">
      <c r="A118" s="62" t="s">
        <v>564</v>
      </c>
      <c r="B118" s="61" t="s">
        <v>97</v>
      </c>
      <c r="C118" s="60">
        <v>2022</v>
      </c>
      <c r="D118" s="60">
        <v>10</v>
      </c>
      <c r="E118" s="342"/>
      <c r="F118" s="342"/>
      <c r="G118" s="59">
        <v>164.16344838709679</v>
      </c>
      <c r="H118" s="143"/>
      <c r="I118" s="57"/>
      <c r="J118" s="58"/>
      <c r="L118" s="57"/>
      <c r="N118" s="52"/>
    </row>
    <row r="119" spans="1:14" ht="17.25" customHeight="1" x14ac:dyDescent="0.25">
      <c r="A119" s="62" t="s">
        <v>563</v>
      </c>
      <c r="B119" s="61" t="s">
        <v>96</v>
      </c>
      <c r="C119" s="60">
        <v>2022</v>
      </c>
      <c r="D119" s="60">
        <v>0.4</v>
      </c>
      <c r="E119" s="60">
        <v>64</v>
      </c>
      <c r="F119" s="60">
        <v>15</v>
      </c>
      <c r="G119" s="59">
        <v>21.712240000000001</v>
      </c>
      <c r="H119" s="143"/>
      <c r="I119" s="57"/>
      <c r="J119" s="58"/>
      <c r="L119" s="57"/>
      <c r="N119" s="52"/>
    </row>
    <row r="120" spans="1:14" ht="17.25" customHeight="1" x14ac:dyDescent="0.25">
      <c r="A120" s="62" t="s">
        <v>563</v>
      </c>
      <c r="B120" s="61" t="s">
        <v>95</v>
      </c>
      <c r="C120" s="60">
        <v>2022</v>
      </c>
      <c r="D120" s="60">
        <v>0.4</v>
      </c>
      <c r="E120" s="60">
        <v>47</v>
      </c>
      <c r="F120" s="60">
        <v>15</v>
      </c>
      <c r="G120" s="59">
        <v>17.27572</v>
      </c>
      <c r="H120" s="143"/>
      <c r="I120" s="57"/>
      <c r="J120" s="58"/>
      <c r="L120" s="57"/>
      <c r="N120" s="52"/>
    </row>
    <row r="121" spans="1:14" ht="17.25" customHeight="1" x14ac:dyDescent="0.25">
      <c r="A121" s="62" t="s">
        <v>564</v>
      </c>
      <c r="B121" s="61" t="s">
        <v>96</v>
      </c>
      <c r="C121" s="60">
        <v>2022</v>
      </c>
      <c r="D121" s="60">
        <v>0.4</v>
      </c>
      <c r="E121" s="340">
        <v>323</v>
      </c>
      <c r="F121" s="340">
        <v>185</v>
      </c>
      <c r="G121" s="59">
        <v>25.961518378378379</v>
      </c>
      <c r="H121" s="143"/>
      <c r="I121" s="57"/>
      <c r="J121" s="58"/>
      <c r="L121" s="57"/>
      <c r="N121" s="52"/>
    </row>
    <row r="122" spans="1:14" ht="17.25" customHeight="1" x14ac:dyDescent="0.25">
      <c r="A122" s="62" t="s">
        <v>564</v>
      </c>
      <c r="B122" s="61" t="s">
        <v>95</v>
      </c>
      <c r="C122" s="60">
        <v>2022</v>
      </c>
      <c r="D122" s="60">
        <v>0.4</v>
      </c>
      <c r="E122" s="341"/>
      <c r="F122" s="341"/>
      <c r="G122" s="59">
        <v>25.961518378378379</v>
      </c>
      <c r="H122" s="143"/>
      <c r="I122" s="57"/>
      <c r="J122" s="58"/>
      <c r="L122" s="57"/>
      <c r="N122" s="52"/>
    </row>
    <row r="123" spans="1:14" ht="17.25" customHeight="1" x14ac:dyDescent="0.25">
      <c r="A123" s="62" t="s">
        <v>564</v>
      </c>
      <c r="B123" s="61" t="s">
        <v>94</v>
      </c>
      <c r="C123" s="60">
        <v>2022</v>
      </c>
      <c r="D123" s="60">
        <v>0.4</v>
      </c>
      <c r="E123" s="342"/>
      <c r="F123" s="342"/>
      <c r="G123" s="59">
        <v>8.6538394594594585</v>
      </c>
      <c r="H123" s="143"/>
      <c r="I123" s="57"/>
      <c r="J123" s="58"/>
      <c r="L123" s="57"/>
      <c r="N123" s="52"/>
    </row>
    <row r="124" spans="1:14" ht="17.25" customHeight="1" x14ac:dyDescent="0.25">
      <c r="A124" s="62" t="s">
        <v>563</v>
      </c>
      <c r="B124" s="61" t="s">
        <v>96</v>
      </c>
      <c r="C124" s="60">
        <v>2022</v>
      </c>
      <c r="D124" s="60">
        <v>10</v>
      </c>
      <c r="E124" s="340">
        <v>303</v>
      </c>
      <c r="F124" s="340">
        <v>232.5</v>
      </c>
      <c r="G124" s="59">
        <v>50.682601935483866</v>
      </c>
      <c r="H124" s="143"/>
      <c r="I124" s="57"/>
      <c r="J124" s="58"/>
      <c r="L124" s="57"/>
      <c r="N124" s="52"/>
    </row>
    <row r="125" spans="1:14" ht="17.25" customHeight="1" x14ac:dyDescent="0.25">
      <c r="A125" s="62" t="s">
        <v>563</v>
      </c>
      <c r="B125" s="61" t="s">
        <v>95</v>
      </c>
      <c r="C125" s="60">
        <v>2022</v>
      </c>
      <c r="D125" s="60">
        <v>10</v>
      </c>
      <c r="E125" s="341"/>
      <c r="F125" s="341"/>
      <c r="G125" s="59">
        <v>50.682601935483866</v>
      </c>
      <c r="H125" s="143"/>
      <c r="I125" s="57"/>
      <c r="J125" s="58"/>
      <c r="L125" s="57"/>
      <c r="N125" s="52"/>
    </row>
    <row r="126" spans="1:14" ht="17.25" customHeight="1" x14ac:dyDescent="0.25">
      <c r="A126" s="62" t="s">
        <v>563</v>
      </c>
      <c r="B126" s="61" t="s">
        <v>94</v>
      </c>
      <c r="C126" s="60">
        <v>2022</v>
      </c>
      <c r="D126" s="60">
        <v>10</v>
      </c>
      <c r="E126" s="342"/>
      <c r="F126" s="342"/>
      <c r="G126" s="59">
        <v>16.894200645161288</v>
      </c>
      <c r="H126" s="143"/>
      <c r="I126" s="57"/>
      <c r="J126" s="58"/>
      <c r="L126" s="57"/>
      <c r="N126" s="52"/>
    </row>
    <row r="127" spans="1:14" ht="17.25" customHeight="1" x14ac:dyDescent="0.25">
      <c r="A127" s="62" t="s">
        <v>564</v>
      </c>
      <c r="B127" s="61" t="s">
        <v>572</v>
      </c>
      <c r="C127" s="60">
        <v>2022</v>
      </c>
      <c r="D127" s="60">
        <v>0.4</v>
      </c>
      <c r="E127" s="60">
        <v>117</v>
      </c>
      <c r="F127" s="60">
        <v>80</v>
      </c>
      <c r="G127" s="59">
        <v>213.61079000000001</v>
      </c>
      <c r="H127" s="57" t="s">
        <v>711</v>
      </c>
      <c r="J127" s="58"/>
      <c r="L127" s="57"/>
      <c r="N127" s="52"/>
    </row>
    <row r="128" spans="1:14" ht="17.25" customHeight="1" x14ac:dyDescent="0.25">
      <c r="A128" s="62" t="s">
        <v>564</v>
      </c>
      <c r="B128" s="61" t="s">
        <v>395</v>
      </c>
      <c r="C128" s="60">
        <v>2022</v>
      </c>
      <c r="D128" s="60">
        <v>0.4</v>
      </c>
      <c r="E128" s="340">
        <v>236</v>
      </c>
      <c r="F128" s="340">
        <v>100</v>
      </c>
      <c r="G128" s="59">
        <v>106.85411999999999</v>
      </c>
      <c r="H128" s="143"/>
      <c r="I128" s="57"/>
      <c r="J128" s="58"/>
      <c r="L128" s="57"/>
      <c r="N128" s="52"/>
    </row>
    <row r="129" spans="1:14" ht="17.25" customHeight="1" x14ac:dyDescent="0.25">
      <c r="A129" s="62" t="s">
        <v>564</v>
      </c>
      <c r="B129" s="61" t="s">
        <v>394</v>
      </c>
      <c r="C129" s="60">
        <v>2022</v>
      </c>
      <c r="D129" s="60">
        <v>0.4</v>
      </c>
      <c r="E129" s="342"/>
      <c r="F129" s="342"/>
      <c r="G129" s="59">
        <v>42.741647999999991</v>
      </c>
      <c r="H129" s="143"/>
      <c r="I129" s="57"/>
      <c r="J129" s="58"/>
      <c r="L129" s="57"/>
      <c r="N129" s="52"/>
    </row>
    <row r="130" spans="1:14" ht="17.25" customHeight="1" x14ac:dyDescent="0.25">
      <c r="A130" s="62" t="s">
        <v>563</v>
      </c>
      <c r="B130" s="61" t="s">
        <v>394</v>
      </c>
      <c r="C130" s="60">
        <v>2022</v>
      </c>
      <c r="D130" s="60">
        <v>0.4</v>
      </c>
      <c r="E130" s="60">
        <v>85</v>
      </c>
      <c r="F130" s="60">
        <v>20</v>
      </c>
      <c r="G130" s="59">
        <v>51.329180000000001</v>
      </c>
      <c r="H130" s="143"/>
      <c r="I130" s="57"/>
      <c r="J130" s="58"/>
      <c r="L130" s="57"/>
      <c r="N130" s="52"/>
    </row>
    <row r="131" spans="1:14" ht="17.25" customHeight="1" x14ac:dyDescent="0.25">
      <c r="A131" s="62" t="s">
        <v>563</v>
      </c>
      <c r="B131" s="61" t="s">
        <v>389</v>
      </c>
      <c r="C131" s="60">
        <v>2022</v>
      </c>
      <c r="D131" s="60">
        <v>0.4</v>
      </c>
      <c r="E131" s="60">
        <v>142</v>
      </c>
      <c r="F131" s="60">
        <v>30</v>
      </c>
      <c r="G131" s="59">
        <v>200.83535999999998</v>
      </c>
      <c r="H131" s="143"/>
      <c r="I131" s="57"/>
      <c r="J131" s="58"/>
      <c r="L131" s="57"/>
      <c r="N131" s="52"/>
    </row>
    <row r="132" spans="1:14" ht="17.25" customHeight="1" x14ac:dyDescent="0.25">
      <c r="A132" s="62" t="s">
        <v>562</v>
      </c>
      <c r="B132" s="61" t="s">
        <v>492</v>
      </c>
      <c r="C132" s="60">
        <v>2022</v>
      </c>
      <c r="D132" s="60">
        <v>0.4</v>
      </c>
      <c r="E132" s="340">
        <v>101.5</v>
      </c>
      <c r="F132" s="340">
        <v>140</v>
      </c>
      <c r="G132" s="59">
        <v>93.452928571428572</v>
      </c>
      <c r="H132" s="143"/>
      <c r="I132" s="57"/>
      <c r="J132" s="58"/>
      <c r="L132" s="57"/>
      <c r="N132" s="52"/>
    </row>
    <row r="133" spans="1:14" ht="17.25" customHeight="1" x14ac:dyDescent="0.25">
      <c r="A133" s="62" t="s">
        <v>562</v>
      </c>
      <c r="B133" s="61" t="s">
        <v>491</v>
      </c>
      <c r="C133" s="60">
        <v>2022</v>
      </c>
      <c r="D133" s="60">
        <v>0.4</v>
      </c>
      <c r="E133" s="341"/>
      <c r="F133" s="341"/>
      <c r="G133" s="59">
        <v>70.089696428571415</v>
      </c>
      <c r="H133" s="143"/>
      <c r="I133" s="57"/>
      <c r="J133" s="58"/>
      <c r="L133" s="57"/>
      <c r="N133" s="52"/>
    </row>
    <row r="134" spans="1:14" ht="17.25" customHeight="1" x14ac:dyDescent="0.25">
      <c r="A134" s="62" t="s">
        <v>562</v>
      </c>
      <c r="B134" s="61" t="s">
        <v>490</v>
      </c>
      <c r="C134" s="60">
        <v>2022</v>
      </c>
      <c r="D134" s="60">
        <v>0.4</v>
      </c>
      <c r="E134" s="341"/>
      <c r="F134" s="341"/>
      <c r="G134" s="59">
        <v>93.452928571428572</v>
      </c>
      <c r="H134" s="143"/>
      <c r="I134" s="57"/>
      <c r="J134" s="58"/>
      <c r="L134" s="57"/>
      <c r="N134" s="52"/>
    </row>
    <row r="135" spans="1:14" ht="17.25" customHeight="1" x14ac:dyDescent="0.25">
      <c r="A135" s="62" t="s">
        <v>562</v>
      </c>
      <c r="B135" s="61" t="s">
        <v>489</v>
      </c>
      <c r="C135" s="60">
        <v>2022</v>
      </c>
      <c r="D135" s="60">
        <v>0.4</v>
      </c>
      <c r="E135" s="342"/>
      <c r="F135" s="342"/>
      <c r="G135" s="59">
        <v>70.089696428571415</v>
      </c>
      <c r="H135" s="143"/>
      <c r="I135" s="57"/>
      <c r="J135" s="58"/>
      <c r="L135" s="57"/>
      <c r="N135" s="52"/>
    </row>
    <row r="136" spans="1:14" ht="17.25" customHeight="1" x14ac:dyDescent="0.25">
      <c r="A136" s="62" t="s">
        <v>564</v>
      </c>
      <c r="B136" s="61" t="s">
        <v>567</v>
      </c>
      <c r="C136" s="60">
        <v>2022</v>
      </c>
      <c r="D136" s="60">
        <v>0.4</v>
      </c>
      <c r="E136" s="60">
        <v>145</v>
      </c>
      <c r="F136" s="60">
        <v>58</v>
      </c>
      <c r="G136" s="59">
        <v>144.71563</v>
      </c>
      <c r="H136" s="143"/>
      <c r="I136" s="57"/>
      <c r="J136" s="58"/>
      <c r="L136" s="57"/>
      <c r="N136" s="52"/>
    </row>
    <row r="137" spans="1:14" ht="17.25" customHeight="1" x14ac:dyDescent="0.25">
      <c r="A137" s="62" t="s">
        <v>564</v>
      </c>
      <c r="B137" s="61" t="s">
        <v>387</v>
      </c>
      <c r="C137" s="60">
        <v>2022</v>
      </c>
      <c r="D137" s="60">
        <v>0.4</v>
      </c>
      <c r="E137" s="60">
        <v>221</v>
      </c>
      <c r="F137" s="60">
        <v>60</v>
      </c>
      <c r="G137" s="59">
        <v>198.1876</v>
      </c>
      <c r="H137" s="143"/>
      <c r="I137" s="57"/>
      <c r="J137" s="58"/>
      <c r="L137" s="57"/>
      <c r="N137" s="52"/>
    </row>
    <row r="138" spans="1:14" ht="17.25" customHeight="1" x14ac:dyDescent="0.25">
      <c r="A138" s="62" t="s">
        <v>564</v>
      </c>
      <c r="B138" s="61" t="s">
        <v>350</v>
      </c>
      <c r="C138" s="60">
        <v>2022</v>
      </c>
      <c r="D138" s="60">
        <v>0.4</v>
      </c>
      <c r="E138" s="60">
        <v>101</v>
      </c>
      <c r="F138" s="60">
        <v>125</v>
      </c>
      <c r="G138" s="59">
        <v>105.75003</v>
      </c>
      <c r="H138" s="143"/>
      <c r="I138" s="57"/>
      <c r="J138" s="58"/>
      <c r="L138" s="57"/>
      <c r="N138" s="52"/>
    </row>
    <row r="139" spans="1:14" ht="17.25" customHeight="1" x14ac:dyDescent="0.25">
      <c r="A139" s="62" t="s">
        <v>563</v>
      </c>
      <c r="B139" s="61" t="s">
        <v>350</v>
      </c>
      <c r="C139" s="60">
        <v>2022</v>
      </c>
      <c r="D139" s="60">
        <v>6</v>
      </c>
      <c r="E139" s="60">
        <v>10</v>
      </c>
      <c r="F139" s="60">
        <v>150.39999999999998</v>
      </c>
      <c r="G139" s="59">
        <v>67.15625831117022</v>
      </c>
      <c r="H139" s="143"/>
      <c r="I139" s="57"/>
      <c r="J139" s="58"/>
      <c r="L139" s="57"/>
      <c r="N139" s="52"/>
    </row>
    <row r="140" spans="1:14" ht="17.25" customHeight="1" x14ac:dyDescent="0.25">
      <c r="A140" s="62" t="s">
        <v>564</v>
      </c>
      <c r="B140" s="61" t="s">
        <v>566</v>
      </c>
      <c r="C140" s="60">
        <v>2022</v>
      </c>
      <c r="D140" s="60">
        <v>0.4</v>
      </c>
      <c r="E140" s="60">
        <v>240</v>
      </c>
      <c r="F140" s="60">
        <v>50</v>
      </c>
      <c r="G140" s="59">
        <v>362.13458000000003</v>
      </c>
      <c r="H140" s="143"/>
      <c r="I140" s="57"/>
      <c r="J140" s="58"/>
      <c r="L140" s="57"/>
      <c r="N140" s="52"/>
    </row>
    <row r="141" spans="1:14" ht="17.25" customHeight="1" x14ac:dyDescent="0.25">
      <c r="A141" s="62" t="s">
        <v>565</v>
      </c>
      <c r="B141" s="61" t="s">
        <v>348</v>
      </c>
      <c r="C141" s="60">
        <v>2022</v>
      </c>
      <c r="D141" s="60">
        <v>0.4</v>
      </c>
      <c r="E141" s="60">
        <v>93</v>
      </c>
      <c r="F141" s="60">
        <v>100</v>
      </c>
      <c r="G141" s="59">
        <v>230.1994</v>
      </c>
      <c r="H141" s="143"/>
      <c r="I141" s="57"/>
      <c r="J141" s="58"/>
      <c r="L141" s="57"/>
      <c r="N141" s="52"/>
    </row>
    <row r="142" spans="1:14" ht="17.25" customHeight="1" x14ac:dyDescent="0.25">
      <c r="A142" s="62" t="s">
        <v>564</v>
      </c>
      <c r="B142" s="61" t="s">
        <v>346</v>
      </c>
      <c r="C142" s="60">
        <v>2022</v>
      </c>
      <c r="D142" s="60">
        <v>0.4</v>
      </c>
      <c r="E142" s="60">
        <v>197</v>
      </c>
      <c r="F142" s="60">
        <v>50</v>
      </c>
      <c r="G142" s="59">
        <v>167.42985999999999</v>
      </c>
      <c r="H142" s="143"/>
      <c r="I142" s="57"/>
      <c r="J142" s="58"/>
      <c r="L142" s="57"/>
      <c r="N142" s="52"/>
    </row>
    <row r="143" spans="1:14" ht="17.25" customHeight="1" x14ac:dyDescent="0.25">
      <c r="A143" s="62" t="s">
        <v>564</v>
      </c>
      <c r="B143" s="61" t="s">
        <v>346</v>
      </c>
      <c r="C143" s="60">
        <v>2022</v>
      </c>
      <c r="D143" s="60">
        <v>6</v>
      </c>
      <c r="E143" s="340">
        <v>337</v>
      </c>
      <c r="F143" s="340">
        <v>376</v>
      </c>
      <c r="G143" s="59">
        <v>120.62956117021277</v>
      </c>
      <c r="H143" s="143"/>
      <c r="I143" s="57"/>
      <c r="J143" s="58"/>
      <c r="L143" s="57"/>
      <c r="N143" s="52"/>
    </row>
    <row r="144" spans="1:14" ht="17.25" customHeight="1" x14ac:dyDescent="0.25">
      <c r="A144" s="62" t="s">
        <v>564</v>
      </c>
      <c r="B144" s="61" t="s">
        <v>345</v>
      </c>
      <c r="C144" s="60">
        <v>2022</v>
      </c>
      <c r="D144" s="60">
        <v>6</v>
      </c>
      <c r="E144" s="341"/>
      <c r="F144" s="341"/>
      <c r="G144" s="59">
        <v>361.88868351063832</v>
      </c>
      <c r="H144" s="143"/>
      <c r="I144" s="57"/>
      <c r="J144" s="58"/>
      <c r="L144" s="57"/>
      <c r="N144" s="52"/>
    </row>
    <row r="145" spans="1:20" ht="17.25" customHeight="1" x14ac:dyDescent="0.25">
      <c r="A145" s="62" t="s">
        <v>564</v>
      </c>
      <c r="B145" s="61" t="s">
        <v>344</v>
      </c>
      <c r="C145" s="60">
        <v>2022</v>
      </c>
      <c r="D145" s="60">
        <v>6</v>
      </c>
      <c r="E145" s="342"/>
      <c r="F145" s="342"/>
      <c r="G145" s="59">
        <v>361.88868351063832</v>
      </c>
      <c r="H145" s="143"/>
      <c r="I145" s="57"/>
      <c r="J145" s="58"/>
      <c r="L145" s="57"/>
      <c r="N145" s="52"/>
    </row>
    <row r="146" spans="1:20" ht="17.25" customHeight="1" x14ac:dyDescent="0.25">
      <c r="A146" s="62" t="s">
        <v>563</v>
      </c>
      <c r="B146" s="61" t="s">
        <v>343</v>
      </c>
      <c r="C146" s="60">
        <v>2022</v>
      </c>
      <c r="D146" s="60">
        <v>0.4</v>
      </c>
      <c r="E146" s="60">
        <v>6</v>
      </c>
      <c r="F146" s="60">
        <v>65</v>
      </c>
      <c r="G146" s="59">
        <v>17.137409999999999</v>
      </c>
      <c r="H146" s="143"/>
      <c r="I146" s="57"/>
      <c r="J146" s="58"/>
      <c r="L146" s="57"/>
      <c r="N146" s="52"/>
    </row>
    <row r="147" spans="1:20" ht="17.25" customHeight="1" x14ac:dyDescent="0.25">
      <c r="A147" s="62" t="s">
        <v>563</v>
      </c>
      <c r="B147" s="61" t="s">
        <v>343</v>
      </c>
      <c r="C147" s="60">
        <v>2022</v>
      </c>
      <c r="D147" s="60">
        <v>6</v>
      </c>
      <c r="E147" s="60">
        <v>12</v>
      </c>
      <c r="F147" s="60">
        <v>94</v>
      </c>
      <c r="G147" s="59">
        <v>66.39242446808511</v>
      </c>
      <c r="H147" s="143"/>
      <c r="I147" s="57"/>
      <c r="J147" s="58"/>
      <c r="L147" s="57"/>
      <c r="N147" s="52"/>
    </row>
    <row r="148" spans="1:20" ht="17.25" customHeight="1" x14ac:dyDescent="0.25">
      <c r="A148" s="62" t="s">
        <v>564</v>
      </c>
      <c r="B148" s="61" t="s">
        <v>342</v>
      </c>
      <c r="C148" s="60">
        <v>2022</v>
      </c>
      <c r="D148" s="60">
        <v>0.4</v>
      </c>
      <c r="E148" s="60">
        <v>654</v>
      </c>
      <c r="F148" s="60">
        <v>150</v>
      </c>
      <c r="G148" s="59">
        <v>862.94430378378377</v>
      </c>
      <c r="H148" s="143"/>
      <c r="I148" s="57"/>
      <c r="J148" s="58"/>
      <c r="L148" s="57"/>
      <c r="N148" s="52"/>
    </row>
    <row r="149" spans="1:20" ht="17.25" customHeight="1" x14ac:dyDescent="0.25">
      <c r="A149" s="62" t="s">
        <v>563</v>
      </c>
      <c r="B149" s="61" t="s">
        <v>342</v>
      </c>
      <c r="C149" s="60">
        <v>2022</v>
      </c>
      <c r="D149" s="60">
        <v>10</v>
      </c>
      <c r="E149" s="60">
        <v>303</v>
      </c>
      <c r="F149" s="60">
        <v>232.5</v>
      </c>
      <c r="G149" s="59">
        <v>506.82601935483865</v>
      </c>
      <c r="H149" s="143"/>
      <c r="I149" s="57"/>
      <c r="J149" s="58"/>
      <c r="L149" s="57"/>
      <c r="N149" s="52"/>
    </row>
    <row r="150" spans="1:20" ht="17.25" customHeight="1" x14ac:dyDescent="0.25">
      <c r="A150" s="62" t="s">
        <v>562</v>
      </c>
      <c r="B150" s="61" t="s">
        <v>340</v>
      </c>
      <c r="C150" s="60">
        <v>2022</v>
      </c>
      <c r="D150" s="60">
        <v>0.4</v>
      </c>
      <c r="E150" s="60">
        <v>200</v>
      </c>
      <c r="F150" s="60">
        <v>100</v>
      </c>
      <c r="G150" s="59">
        <v>470.17372999999998</v>
      </c>
      <c r="H150" s="143"/>
      <c r="I150" s="57"/>
      <c r="J150" s="58"/>
      <c r="L150" s="57"/>
      <c r="N150" s="52"/>
    </row>
    <row r="151" spans="1:20" ht="15.75" customHeight="1" x14ac:dyDescent="0.25">
      <c r="A151" s="35" t="s">
        <v>561</v>
      </c>
      <c r="B151" s="34" t="s">
        <v>560</v>
      </c>
      <c r="C151" s="33"/>
      <c r="D151" s="17"/>
      <c r="E151" s="33"/>
      <c r="F151" s="17"/>
      <c r="G151" s="32"/>
      <c r="H151" s="135"/>
      <c r="I151" s="52"/>
      <c r="J151" s="52"/>
    </row>
    <row r="152" spans="1:20" ht="70.5" customHeight="1" x14ac:dyDescent="0.25">
      <c r="A152" s="25" t="s">
        <v>559</v>
      </c>
      <c r="B152" s="29" t="s">
        <v>558</v>
      </c>
      <c r="C152" s="33"/>
      <c r="D152" s="17"/>
      <c r="E152" s="33"/>
      <c r="F152" s="17"/>
      <c r="G152" s="32"/>
      <c r="H152" s="135"/>
      <c r="I152" s="52"/>
      <c r="J152" s="52"/>
    </row>
    <row r="153" spans="1:20" ht="23.1" customHeight="1" x14ac:dyDescent="0.25">
      <c r="A153" s="25" t="s">
        <v>557</v>
      </c>
      <c r="B153" s="29" t="s">
        <v>556</v>
      </c>
      <c r="C153" s="33"/>
      <c r="D153" s="17"/>
      <c r="E153" s="33"/>
      <c r="F153" s="17"/>
      <c r="G153" s="32"/>
      <c r="H153" s="135"/>
      <c r="I153" s="52"/>
      <c r="J153" s="52"/>
    </row>
    <row r="154" spans="1:20" ht="39.950000000000003" customHeight="1" x14ac:dyDescent="0.25">
      <c r="A154" s="25" t="s">
        <v>555</v>
      </c>
      <c r="B154" s="29" t="s">
        <v>554</v>
      </c>
      <c r="C154" s="33"/>
      <c r="D154" s="17"/>
      <c r="E154" s="33"/>
      <c r="F154" s="17"/>
      <c r="G154" s="32"/>
      <c r="H154" s="135"/>
      <c r="I154" s="52"/>
      <c r="J154" s="52"/>
    </row>
    <row r="155" spans="1:20" ht="129.6" customHeight="1" x14ac:dyDescent="0.25">
      <c r="A155" s="25" t="s">
        <v>553</v>
      </c>
      <c r="B155" s="29" t="s">
        <v>552</v>
      </c>
      <c r="C155" s="13"/>
      <c r="D155" s="12"/>
      <c r="E155" s="13"/>
      <c r="F155" s="12"/>
      <c r="G155" s="11"/>
    </row>
    <row r="156" spans="1:20" s="30" customFormat="1" ht="53.1" customHeight="1" x14ac:dyDescent="0.25">
      <c r="A156" s="25" t="s">
        <v>551</v>
      </c>
      <c r="B156" s="29" t="s">
        <v>550</v>
      </c>
      <c r="C156" s="13"/>
      <c r="D156" s="12"/>
      <c r="E156" s="13"/>
      <c r="F156" s="12"/>
      <c r="G156" s="11"/>
      <c r="H156" s="2"/>
      <c r="T156" s="1"/>
    </row>
    <row r="157" spans="1:20" ht="16.5" customHeight="1" thickBot="1" x14ac:dyDescent="0.3">
      <c r="A157" s="41" t="s">
        <v>526</v>
      </c>
      <c r="B157" s="44" t="s">
        <v>548</v>
      </c>
      <c r="C157" s="39">
        <v>2020</v>
      </c>
      <c r="D157" s="39">
        <v>0.4</v>
      </c>
      <c r="E157" s="39">
        <v>11</v>
      </c>
      <c r="F157" s="11">
        <v>15</v>
      </c>
      <c r="G157" s="50">
        <v>31.62</v>
      </c>
      <c r="H157" s="134"/>
      <c r="I157" s="1" t="s">
        <v>549</v>
      </c>
      <c r="J157" s="1">
        <v>66.10427</v>
      </c>
      <c r="K157" s="1">
        <v>2.8740986959999999</v>
      </c>
      <c r="L157" s="48"/>
    </row>
    <row r="158" spans="1:20" ht="16.5" thickBot="1" x14ac:dyDescent="0.3">
      <c r="A158" s="41" t="s">
        <v>487</v>
      </c>
      <c r="B158" s="44" t="s">
        <v>548</v>
      </c>
      <c r="C158" s="39">
        <v>2020</v>
      </c>
      <c r="D158" s="39">
        <v>0.4</v>
      </c>
      <c r="E158" s="39">
        <v>3</v>
      </c>
      <c r="F158" s="11">
        <v>15</v>
      </c>
      <c r="G158" s="50">
        <v>8.6199999999999992</v>
      </c>
      <c r="H158" s="134"/>
      <c r="J158" s="1">
        <v>23</v>
      </c>
      <c r="L158" s="175">
        <f>SUBTOTAL(9,G157:G267)</f>
        <v>42320.954657475981</v>
      </c>
      <c r="M158" s="167">
        <v>28171.053158730159</v>
      </c>
      <c r="N158" s="168" t="s">
        <v>741</v>
      </c>
      <c r="O158" s="167"/>
      <c r="P158" s="168"/>
    </row>
    <row r="159" spans="1:20" ht="16.5" thickBot="1" x14ac:dyDescent="0.3">
      <c r="A159" s="41" t="s">
        <v>525</v>
      </c>
      <c r="B159" s="44" t="s">
        <v>473</v>
      </c>
      <c r="C159" s="39">
        <v>2020</v>
      </c>
      <c r="D159" s="39">
        <v>0.4</v>
      </c>
      <c r="E159" s="39">
        <v>9</v>
      </c>
      <c r="F159" s="11">
        <v>15</v>
      </c>
      <c r="G159" s="50">
        <v>25.87</v>
      </c>
      <c r="H159" s="134"/>
      <c r="L159" s="174">
        <f>SUBTOTAL(9,E157:E267)</f>
        <v>8983.6</v>
      </c>
      <c r="M159" s="163">
        <v>6256.6</v>
      </c>
      <c r="N159" s="163" t="s">
        <v>737</v>
      </c>
      <c r="O159" s="163">
        <f>M159/1000</f>
        <v>6.2566000000000006</v>
      </c>
      <c r="P159" s="165" t="s">
        <v>742</v>
      </c>
    </row>
    <row r="160" spans="1:20" ht="17.25" customHeight="1" thickBot="1" x14ac:dyDescent="0.3">
      <c r="A160" s="41" t="s">
        <v>547</v>
      </c>
      <c r="B160" s="44" t="s">
        <v>445</v>
      </c>
      <c r="C160" s="39">
        <v>2020</v>
      </c>
      <c r="D160" s="39">
        <v>0.4</v>
      </c>
      <c r="E160" s="39">
        <v>30</v>
      </c>
      <c r="F160" s="11">
        <v>5</v>
      </c>
      <c r="G160" s="50">
        <v>6.22</v>
      </c>
      <c r="H160" s="134"/>
      <c r="I160" s="1" t="s">
        <v>546</v>
      </c>
      <c r="L160" s="174">
        <f>SUBTOTAL(9,F157:F267)</f>
        <v>8125.6999999999989</v>
      </c>
      <c r="M160" s="163">
        <v>4740</v>
      </c>
      <c r="N160" s="163" t="s">
        <v>738</v>
      </c>
      <c r="O160" s="165" t="s">
        <v>741</v>
      </c>
      <c r="P160" s="173"/>
    </row>
    <row r="161" spans="1:12" ht="15" customHeight="1" x14ac:dyDescent="0.25">
      <c r="A161" s="41" t="s">
        <v>544</v>
      </c>
      <c r="B161" s="44" t="s">
        <v>470</v>
      </c>
      <c r="C161" s="39">
        <v>2020</v>
      </c>
      <c r="D161" s="39">
        <v>0.4</v>
      </c>
      <c r="E161" s="39">
        <v>91</v>
      </c>
      <c r="F161" s="11">
        <v>5</v>
      </c>
      <c r="G161" s="50">
        <v>76.58</v>
      </c>
      <c r="H161" s="134"/>
      <c r="I161" s="1" t="s">
        <v>545</v>
      </c>
      <c r="L161" s="48"/>
    </row>
    <row r="162" spans="1:12" x14ac:dyDescent="0.25">
      <c r="A162" s="41" t="s">
        <v>544</v>
      </c>
      <c r="B162" s="44" t="s">
        <v>469</v>
      </c>
      <c r="C162" s="39">
        <v>2020</v>
      </c>
      <c r="D162" s="39">
        <v>0.4</v>
      </c>
      <c r="E162" s="39">
        <v>39</v>
      </c>
      <c r="F162" s="11">
        <v>5</v>
      </c>
      <c r="G162" s="50">
        <v>38.01</v>
      </c>
      <c r="H162" s="134"/>
      <c r="L162" s="48"/>
    </row>
    <row r="163" spans="1:12" x14ac:dyDescent="0.25">
      <c r="A163" s="41" t="s">
        <v>544</v>
      </c>
      <c r="B163" s="44" t="s">
        <v>468</v>
      </c>
      <c r="C163" s="39">
        <v>2020</v>
      </c>
      <c r="D163" s="39">
        <v>0.4</v>
      </c>
      <c r="E163" s="39">
        <v>112</v>
      </c>
      <c r="F163" s="11">
        <v>5</v>
      </c>
      <c r="G163" s="50">
        <v>93.12</v>
      </c>
      <c r="H163" s="134"/>
      <c r="L163" s="48"/>
    </row>
    <row r="164" spans="1:12" x14ac:dyDescent="0.25">
      <c r="A164" s="41" t="s">
        <v>544</v>
      </c>
      <c r="B164" s="44" t="s">
        <v>467</v>
      </c>
      <c r="C164" s="39">
        <v>2020</v>
      </c>
      <c r="D164" s="39">
        <v>0.4</v>
      </c>
      <c r="E164" s="39">
        <v>120</v>
      </c>
      <c r="F164" s="11">
        <v>5</v>
      </c>
      <c r="G164" s="50">
        <v>104.37</v>
      </c>
      <c r="H164" s="134"/>
      <c r="L164" s="48"/>
    </row>
    <row r="165" spans="1:12" x14ac:dyDescent="0.25">
      <c r="A165" s="41" t="s">
        <v>544</v>
      </c>
      <c r="B165" s="44" t="s">
        <v>466</v>
      </c>
      <c r="C165" s="39">
        <v>2020</v>
      </c>
      <c r="D165" s="39">
        <v>0.4</v>
      </c>
      <c r="E165" s="39">
        <v>165</v>
      </c>
      <c r="F165" s="11">
        <v>5</v>
      </c>
      <c r="G165" s="50">
        <v>111.06</v>
      </c>
      <c r="H165" s="134"/>
      <c r="L165" s="48"/>
    </row>
    <row r="166" spans="1:12" x14ac:dyDescent="0.25">
      <c r="A166" s="41" t="s">
        <v>543</v>
      </c>
      <c r="B166" s="44" t="s">
        <v>447</v>
      </c>
      <c r="C166" s="39">
        <v>2020</v>
      </c>
      <c r="D166" s="39">
        <v>0.4</v>
      </c>
      <c r="E166" s="39">
        <v>11</v>
      </c>
      <c r="F166" s="11">
        <v>15</v>
      </c>
      <c r="G166" s="50">
        <v>30.45</v>
      </c>
      <c r="H166" s="134"/>
      <c r="I166" s="1" t="s">
        <v>449</v>
      </c>
      <c r="J166" s="1">
        <v>69.207089999999994</v>
      </c>
      <c r="L166" s="48">
        <v>25</v>
      </c>
    </row>
    <row r="167" spans="1:12" x14ac:dyDescent="0.25">
      <c r="A167" s="41" t="s">
        <v>542</v>
      </c>
      <c r="B167" s="44" t="s">
        <v>447</v>
      </c>
      <c r="C167" s="39">
        <v>2020</v>
      </c>
      <c r="D167" s="39">
        <v>0.4</v>
      </c>
      <c r="E167" s="39">
        <v>3</v>
      </c>
      <c r="F167" s="11">
        <v>15</v>
      </c>
      <c r="G167" s="50">
        <v>8.3000000000000007</v>
      </c>
      <c r="H167" s="134"/>
      <c r="L167" s="48"/>
    </row>
    <row r="168" spans="1:12" x14ac:dyDescent="0.25">
      <c r="A168" s="41" t="s">
        <v>542</v>
      </c>
      <c r="B168" s="44" t="s">
        <v>447</v>
      </c>
      <c r="C168" s="39">
        <v>2020</v>
      </c>
      <c r="D168" s="39">
        <v>0.4</v>
      </c>
      <c r="E168" s="39">
        <v>3</v>
      </c>
      <c r="F168" s="11">
        <v>15</v>
      </c>
      <c r="G168" s="50">
        <v>8.3000000000000007</v>
      </c>
      <c r="H168" s="134"/>
      <c r="L168" s="48"/>
    </row>
    <row r="169" spans="1:12" x14ac:dyDescent="0.25">
      <c r="A169" s="41" t="s">
        <v>541</v>
      </c>
      <c r="B169" s="44" t="s">
        <v>447</v>
      </c>
      <c r="C169" s="39">
        <v>2020</v>
      </c>
      <c r="D169" s="39">
        <v>0.4</v>
      </c>
      <c r="E169" s="39">
        <v>8</v>
      </c>
      <c r="F169" s="11">
        <v>15</v>
      </c>
      <c r="G169" s="50">
        <v>22.15</v>
      </c>
      <c r="H169" s="134"/>
      <c r="L169" s="48"/>
    </row>
    <row r="170" spans="1:12" x14ac:dyDescent="0.25">
      <c r="A170" s="41" t="s">
        <v>482</v>
      </c>
      <c r="B170" s="44" t="s">
        <v>539</v>
      </c>
      <c r="C170" s="39">
        <v>2020</v>
      </c>
      <c r="D170" s="39">
        <v>0.4</v>
      </c>
      <c r="E170" s="39">
        <v>23</v>
      </c>
      <c r="F170" s="11">
        <v>40</v>
      </c>
      <c r="G170" s="50">
        <v>406.21</v>
      </c>
      <c r="H170" s="134"/>
      <c r="I170" s="1" t="s">
        <v>540</v>
      </c>
      <c r="J170" s="1">
        <v>558.59718999999996</v>
      </c>
      <c r="K170" s="1">
        <v>35</v>
      </c>
      <c r="L170" s="48"/>
    </row>
    <row r="171" spans="1:12" x14ac:dyDescent="0.25">
      <c r="A171" s="41" t="s">
        <v>493</v>
      </c>
      <c r="B171" s="44" t="s">
        <v>539</v>
      </c>
      <c r="C171" s="39">
        <v>2020</v>
      </c>
      <c r="D171" s="39">
        <v>0.4</v>
      </c>
      <c r="E171" s="39">
        <v>11</v>
      </c>
      <c r="F171" s="11">
        <v>40</v>
      </c>
      <c r="G171" s="50">
        <v>152.38999999999999</v>
      </c>
      <c r="H171" s="134"/>
      <c r="L171" s="48"/>
    </row>
    <row r="172" spans="1:12" x14ac:dyDescent="0.25">
      <c r="A172" s="41" t="s">
        <v>482</v>
      </c>
      <c r="B172" s="44" t="s">
        <v>538</v>
      </c>
      <c r="C172" s="39">
        <v>2020</v>
      </c>
      <c r="D172" s="39">
        <v>0.4</v>
      </c>
      <c r="E172" s="39">
        <v>92</v>
      </c>
      <c r="F172" s="11">
        <v>40</v>
      </c>
      <c r="G172" s="50">
        <v>798.14</v>
      </c>
      <c r="H172" s="134"/>
      <c r="J172" s="1">
        <v>1286.7293099999999</v>
      </c>
      <c r="K172" s="1">
        <v>216</v>
      </c>
      <c r="L172" s="48"/>
    </row>
    <row r="173" spans="1:12" x14ac:dyDescent="0.25">
      <c r="A173" s="41" t="s">
        <v>493</v>
      </c>
      <c r="B173" s="44" t="s">
        <v>538</v>
      </c>
      <c r="C173" s="39">
        <v>2020</v>
      </c>
      <c r="D173" s="39">
        <v>0.4</v>
      </c>
      <c r="E173" s="39">
        <v>21</v>
      </c>
      <c r="F173" s="11">
        <v>40</v>
      </c>
      <c r="G173" s="11">
        <v>82.75</v>
      </c>
      <c r="J173" s="1">
        <v>488.59</v>
      </c>
      <c r="K173" s="1">
        <v>124</v>
      </c>
      <c r="L173" s="48">
        <v>3.9402574189999999</v>
      </c>
    </row>
    <row r="174" spans="1:12" x14ac:dyDescent="0.25">
      <c r="A174" s="41" t="s">
        <v>536</v>
      </c>
      <c r="B174" s="44" t="s">
        <v>538</v>
      </c>
      <c r="C174" s="39">
        <v>2020</v>
      </c>
      <c r="D174" s="39">
        <v>0.4</v>
      </c>
      <c r="E174" s="39">
        <v>9</v>
      </c>
      <c r="F174" s="11">
        <v>40</v>
      </c>
      <c r="G174" s="11">
        <v>35.46</v>
      </c>
      <c r="L174" s="48"/>
    </row>
    <row r="175" spans="1:12" x14ac:dyDescent="0.25">
      <c r="A175" s="41" t="s">
        <v>483</v>
      </c>
      <c r="B175" s="44" t="s">
        <v>538</v>
      </c>
      <c r="C175" s="39">
        <v>2020</v>
      </c>
      <c r="D175" s="39">
        <v>0.4</v>
      </c>
      <c r="E175" s="39">
        <v>94</v>
      </c>
      <c r="F175" s="11">
        <v>40</v>
      </c>
      <c r="G175" s="11">
        <v>370.38</v>
      </c>
      <c r="L175" s="48"/>
    </row>
    <row r="176" spans="1:12" x14ac:dyDescent="0.25">
      <c r="A176" s="41" t="s">
        <v>482</v>
      </c>
      <c r="B176" s="44" t="s">
        <v>444</v>
      </c>
      <c r="C176" s="39">
        <v>2020</v>
      </c>
      <c r="D176" s="39">
        <v>0.4</v>
      </c>
      <c r="E176" s="39">
        <v>72</v>
      </c>
      <c r="F176" s="11">
        <v>95</v>
      </c>
      <c r="G176" s="11">
        <v>844.12</v>
      </c>
      <c r="I176" s="1" t="s">
        <v>537</v>
      </c>
      <c r="J176" s="1">
        <v>1473.3732399999999</v>
      </c>
      <c r="K176" s="1">
        <v>272</v>
      </c>
      <c r="L176" s="48"/>
    </row>
    <row r="177" spans="1:16" x14ac:dyDescent="0.25">
      <c r="A177" s="41" t="s">
        <v>483</v>
      </c>
      <c r="B177" s="44" t="s">
        <v>444</v>
      </c>
      <c r="C177" s="39">
        <v>2020</v>
      </c>
      <c r="D177" s="39">
        <v>0.4</v>
      </c>
      <c r="E177" s="39">
        <v>89</v>
      </c>
      <c r="F177" s="11">
        <v>95</v>
      </c>
      <c r="G177" s="11">
        <v>280.02</v>
      </c>
      <c r="J177" s="1">
        <v>629.25800000000004</v>
      </c>
      <c r="K177" s="1">
        <v>200</v>
      </c>
      <c r="L177" s="48">
        <v>3.14629</v>
      </c>
    </row>
    <row r="178" spans="1:16" x14ac:dyDescent="0.25">
      <c r="A178" s="41" t="s">
        <v>536</v>
      </c>
      <c r="B178" s="44" t="s">
        <v>444</v>
      </c>
      <c r="C178" s="39">
        <v>2020</v>
      </c>
      <c r="D178" s="39">
        <v>0.4</v>
      </c>
      <c r="E178" s="39">
        <v>98</v>
      </c>
      <c r="F178" s="11">
        <v>95</v>
      </c>
      <c r="G178" s="11">
        <v>308.33999999999997</v>
      </c>
      <c r="L178" s="48"/>
    </row>
    <row r="179" spans="1:16" x14ac:dyDescent="0.25">
      <c r="A179" s="41" t="s">
        <v>493</v>
      </c>
      <c r="B179" s="44" t="s">
        <v>444</v>
      </c>
      <c r="C179" s="39">
        <v>2020</v>
      </c>
      <c r="D179" s="39">
        <v>0.4</v>
      </c>
      <c r="E179" s="39">
        <v>13</v>
      </c>
      <c r="F179" s="11">
        <v>95</v>
      </c>
      <c r="G179" s="11">
        <v>40.9</v>
      </c>
      <c r="L179" s="48"/>
    </row>
    <row r="180" spans="1:16" ht="17.25" customHeight="1" x14ac:dyDescent="0.25">
      <c r="A180" s="41" t="s">
        <v>485</v>
      </c>
      <c r="B180" s="44" t="s">
        <v>442</v>
      </c>
      <c r="C180" s="39">
        <v>2020</v>
      </c>
      <c r="D180" s="39">
        <v>0.4</v>
      </c>
      <c r="E180" s="39">
        <v>68.099999999999994</v>
      </c>
      <c r="F180" s="11">
        <v>20</v>
      </c>
      <c r="G180" s="11">
        <v>92.73</v>
      </c>
      <c r="I180" s="1" t="s">
        <v>535</v>
      </c>
      <c r="J180" s="1">
        <v>119.96</v>
      </c>
      <c r="K180" s="1">
        <v>88.1</v>
      </c>
      <c r="L180" s="48"/>
    </row>
    <row r="181" spans="1:16" x14ac:dyDescent="0.25">
      <c r="A181" s="41" t="s">
        <v>526</v>
      </c>
      <c r="B181" s="44" t="s">
        <v>442</v>
      </c>
      <c r="C181" s="39">
        <v>2020</v>
      </c>
      <c r="D181" s="39">
        <v>0.4</v>
      </c>
      <c r="E181" s="39">
        <v>12</v>
      </c>
      <c r="F181" s="11">
        <v>20</v>
      </c>
      <c r="G181" s="11">
        <v>16.34</v>
      </c>
      <c r="J181" s="1">
        <v>1.36</v>
      </c>
      <c r="L181" s="48"/>
    </row>
    <row r="182" spans="1:16" x14ac:dyDescent="0.25">
      <c r="A182" s="41" t="s">
        <v>525</v>
      </c>
      <c r="B182" s="44" t="s">
        <v>442</v>
      </c>
      <c r="C182" s="39">
        <v>2020</v>
      </c>
      <c r="D182" s="39">
        <v>0.4</v>
      </c>
      <c r="E182" s="39">
        <v>8</v>
      </c>
      <c r="F182" s="11">
        <v>20</v>
      </c>
      <c r="G182" s="11">
        <v>10.89</v>
      </c>
      <c r="L182" s="48"/>
    </row>
    <row r="183" spans="1:16" x14ac:dyDescent="0.25">
      <c r="A183" s="41" t="s">
        <v>487</v>
      </c>
      <c r="B183" s="44" t="s">
        <v>534</v>
      </c>
      <c r="C183" s="39">
        <v>2020</v>
      </c>
      <c r="D183" s="39">
        <v>0.4</v>
      </c>
      <c r="E183" s="39">
        <v>220</v>
      </c>
      <c r="F183" s="11">
        <v>20</v>
      </c>
      <c r="G183" s="11">
        <v>382.48</v>
      </c>
      <c r="I183" s="1">
        <v>155</v>
      </c>
      <c r="J183" s="1">
        <v>521.56866000000002</v>
      </c>
      <c r="K183" s="1">
        <v>1.7385622000000001</v>
      </c>
      <c r="L183" s="48"/>
    </row>
    <row r="184" spans="1:16" x14ac:dyDescent="0.25">
      <c r="A184" s="41" t="s">
        <v>526</v>
      </c>
      <c r="B184" s="44" t="s">
        <v>534</v>
      </c>
      <c r="C184" s="39">
        <v>2020</v>
      </c>
      <c r="D184" s="39">
        <v>0.4</v>
      </c>
      <c r="E184" s="39">
        <v>68</v>
      </c>
      <c r="F184" s="11">
        <v>20</v>
      </c>
      <c r="G184" s="50">
        <v>118.22</v>
      </c>
      <c r="H184" s="134"/>
      <c r="K184" s="1">
        <v>300</v>
      </c>
      <c r="L184" s="48"/>
    </row>
    <row r="185" spans="1:16" ht="16.5" thickBot="1" x14ac:dyDescent="0.3">
      <c r="A185" s="41" t="s">
        <v>525</v>
      </c>
      <c r="B185" s="44" t="s">
        <v>534</v>
      </c>
      <c r="C185" s="39">
        <v>2020</v>
      </c>
      <c r="D185" s="39">
        <v>0.4</v>
      </c>
      <c r="E185" s="39">
        <v>12</v>
      </c>
      <c r="F185" s="11">
        <v>20</v>
      </c>
      <c r="G185" s="50">
        <v>20.86</v>
      </c>
      <c r="H185" s="134"/>
      <c r="L185" s="48"/>
    </row>
    <row r="186" spans="1:16" s="54" customFormat="1" ht="16.5" thickBot="1" x14ac:dyDescent="0.3">
      <c r="A186" s="41" t="s">
        <v>518</v>
      </c>
      <c r="B186" s="44" t="s">
        <v>532</v>
      </c>
      <c r="C186" s="39">
        <v>2020</v>
      </c>
      <c r="D186" s="38">
        <v>6</v>
      </c>
      <c r="E186" s="39">
        <v>67</v>
      </c>
      <c r="F186" s="348">
        <v>250</v>
      </c>
      <c r="G186" s="50">
        <v>198.91</v>
      </c>
      <c r="H186" s="134"/>
      <c r="J186" s="54">
        <v>91.385459999999995</v>
      </c>
      <c r="K186" s="54">
        <v>140</v>
      </c>
      <c r="L186" s="178">
        <f>SUBTOTAL(9,G186:G268)</f>
        <v>40182.925967316398</v>
      </c>
      <c r="M186" s="179">
        <v>12710.567279316407</v>
      </c>
      <c r="N186" s="180" t="s">
        <v>743</v>
      </c>
      <c r="O186" s="56"/>
    </row>
    <row r="187" spans="1:16" s="54" customFormat="1" ht="16.5" thickBot="1" x14ac:dyDescent="0.3">
      <c r="A187" s="41" t="s">
        <v>519</v>
      </c>
      <c r="B187" s="44" t="s">
        <v>532</v>
      </c>
      <c r="C187" s="39">
        <v>2020</v>
      </c>
      <c r="D187" s="38">
        <v>6</v>
      </c>
      <c r="E187" s="39">
        <v>36</v>
      </c>
      <c r="F187" s="349"/>
      <c r="G187" s="50">
        <v>112.67</v>
      </c>
      <c r="H187" s="134"/>
      <c r="L187" s="176">
        <f>SUBTOTAL(9,E186:E269)</f>
        <v>8139.5</v>
      </c>
      <c r="M187" s="177">
        <v>3398</v>
      </c>
      <c r="N187" s="177" t="s">
        <v>737</v>
      </c>
      <c r="O187" s="177">
        <f>M187/1000</f>
        <v>3.3980000000000001</v>
      </c>
      <c r="P187" s="181" t="s">
        <v>739</v>
      </c>
    </row>
    <row r="188" spans="1:16" s="54" customFormat="1" ht="16.5" thickBot="1" x14ac:dyDescent="0.3">
      <c r="A188" s="41" t="s">
        <v>531</v>
      </c>
      <c r="B188" s="44" t="s">
        <v>532</v>
      </c>
      <c r="C188" s="39">
        <v>2020</v>
      </c>
      <c r="D188" s="38">
        <v>6</v>
      </c>
      <c r="E188" s="39">
        <v>15</v>
      </c>
      <c r="F188" s="349"/>
      <c r="G188" s="50">
        <v>37.770000000000003</v>
      </c>
      <c r="H188" s="134"/>
      <c r="L188" s="176">
        <f>SUBTOTAL(9,F186:F269)</f>
        <v>7626.6999999999989</v>
      </c>
      <c r="M188" s="177">
        <v>6111.6999999999989</v>
      </c>
      <c r="N188" s="177" t="s">
        <v>738</v>
      </c>
      <c r="O188" s="182"/>
    </row>
    <row r="189" spans="1:16" s="54" customFormat="1" x14ac:dyDescent="0.25">
      <c r="A189" s="41" t="s">
        <v>520</v>
      </c>
      <c r="B189" s="44" t="s">
        <v>532</v>
      </c>
      <c r="C189" s="39">
        <v>2020</v>
      </c>
      <c r="D189" s="38">
        <v>6</v>
      </c>
      <c r="E189" s="39">
        <v>34</v>
      </c>
      <c r="F189" s="349"/>
      <c r="G189" s="50">
        <v>369.85</v>
      </c>
      <c r="H189" s="134"/>
      <c r="L189" s="55"/>
    </row>
    <row r="190" spans="1:16" x14ac:dyDescent="0.25">
      <c r="A190" s="41" t="s">
        <v>518</v>
      </c>
      <c r="B190" s="44" t="s">
        <v>530</v>
      </c>
      <c r="C190" s="39">
        <v>2020</v>
      </c>
      <c r="D190" s="38">
        <v>6</v>
      </c>
      <c r="E190" s="39">
        <v>27</v>
      </c>
      <c r="F190" s="349"/>
      <c r="G190" s="53">
        <v>78.98</v>
      </c>
      <c r="H190" s="140"/>
      <c r="I190" s="52">
        <v>1566.92</v>
      </c>
      <c r="K190" s="1">
        <v>341</v>
      </c>
      <c r="L190" s="48">
        <v>4.5950651320000002</v>
      </c>
    </row>
    <row r="191" spans="1:16" x14ac:dyDescent="0.25">
      <c r="A191" s="41" t="s">
        <v>519</v>
      </c>
      <c r="B191" s="44" t="s">
        <v>530</v>
      </c>
      <c r="C191" s="39">
        <v>2020</v>
      </c>
      <c r="D191" s="38">
        <v>6</v>
      </c>
      <c r="E191" s="39">
        <v>15</v>
      </c>
      <c r="F191" s="349"/>
      <c r="G191" s="51">
        <v>46.76</v>
      </c>
      <c r="H191" s="140"/>
      <c r="L191" s="48"/>
    </row>
    <row r="192" spans="1:16" x14ac:dyDescent="0.25">
      <c r="A192" s="41" t="s">
        <v>531</v>
      </c>
      <c r="B192" s="44" t="s">
        <v>530</v>
      </c>
      <c r="C192" s="39">
        <v>2020</v>
      </c>
      <c r="D192" s="38">
        <v>6</v>
      </c>
      <c r="E192" s="39">
        <v>15</v>
      </c>
      <c r="F192" s="349"/>
      <c r="G192" s="51">
        <v>37.770000000000003</v>
      </c>
      <c r="H192" s="140"/>
      <c r="L192" s="48"/>
    </row>
    <row r="193" spans="1:12" x14ac:dyDescent="0.25">
      <c r="A193" s="41" t="s">
        <v>520</v>
      </c>
      <c r="B193" s="44" t="s">
        <v>530</v>
      </c>
      <c r="C193" s="39">
        <v>2020</v>
      </c>
      <c r="D193" s="38">
        <v>6</v>
      </c>
      <c r="E193" s="39">
        <v>104</v>
      </c>
      <c r="F193" s="350"/>
      <c r="G193" s="51">
        <v>1313.64</v>
      </c>
      <c r="H193" s="140"/>
      <c r="L193" s="48"/>
    </row>
    <row r="194" spans="1:12" x14ac:dyDescent="0.25">
      <c r="A194" s="41" t="s">
        <v>483</v>
      </c>
      <c r="B194" s="44" t="s">
        <v>528</v>
      </c>
      <c r="C194" s="39">
        <v>2020</v>
      </c>
      <c r="D194" s="38">
        <v>0.4</v>
      </c>
      <c r="E194" s="39">
        <v>67</v>
      </c>
      <c r="F194" s="11">
        <v>80</v>
      </c>
      <c r="G194" s="51">
        <v>129.59</v>
      </c>
      <c r="H194" s="140"/>
      <c r="L194" s="48"/>
    </row>
    <row r="195" spans="1:12" x14ac:dyDescent="0.25">
      <c r="A195" s="41" t="s">
        <v>493</v>
      </c>
      <c r="B195" s="44" t="s">
        <v>528</v>
      </c>
      <c r="C195" s="39">
        <v>2020</v>
      </c>
      <c r="D195" s="38">
        <v>0.4</v>
      </c>
      <c r="E195" s="39">
        <v>38</v>
      </c>
      <c r="F195" s="11">
        <v>80</v>
      </c>
      <c r="G195" s="51">
        <v>80.650000000000006</v>
      </c>
      <c r="H195" s="140"/>
      <c r="J195" s="1">
        <v>2931.2426999999998</v>
      </c>
      <c r="K195" s="1">
        <v>479</v>
      </c>
      <c r="L195" s="48"/>
    </row>
    <row r="196" spans="1:12" x14ac:dyDescent="0.25">
      <c r="A196" s="41" t="s">
        <v>529</v>
      </c>
      <c r="B196" s="44" t="s">
        <v>528</v>
      </c>
      <c r="C196" s="39">
        <v>2020</v>
      </c>
      <c r="D196" s="38">
        <v>0.4</v>
      </c>
      <c r="E196" s="39">
        <v>9</v>
      </c>
      <c r="F196" s="11">
        <v>80</v>
      </c>
      <c r="G196" s="51">
        <v>8.91</v>
      </c>
      <c r="H196" s="140"/>
      <c r="L196" s="48"/>
    </row>
    <row r="197" spans="1:12" x14ac:dyDescent="0.25">
      <c r="A197" s="41" t="s">
        <v>482</v>
      </c>
      <c r="B197" s="44" t="s">
        <v>528</v>
      </c>
      <c r="C197" s="39">
        <v>2020</v>
      </c>
      <c r="D197" s="38">
        <v>0.4</v>
      </c>
      <c r="E197" s="39">
        <v>34</v>
      </c>
      <c r="F197" s="11">
        <v>80</v>
      </c>
      <c r="G197" s="51">
        <v>325.19</v>
      </c>
      <c r="H197" s="140"/>
      <c r="L197" s="48"/>
    </row>
    <row r="198" spans="1:12" x14ac:dyDescent="0.25">
      <c r="A198" s="41" t="s">
        <v>487</v>
      </c>
      <c r="B198" s="44" t="s">
        <v>527</v>
      </c>
      <c r="C198" s="39">
        <v>2020</v>
      </c>
      <c r="D198" s="39">
        <v>0.4</v>
      </c>
      <c r="E198" s="39">
        <v>71</v>
      </c>
      <c r="F198" s="11">
        <v>40</v>
      </c>
      <c r="G198" s="50">
        <v>46.35</v>
      </c>
      <c r="H198" s="134"/>
      <c r="J198" s="1">
        <v>0.65275328600000004</v>
      </c>
      <c r="L198" s="48"/>
    </row>
    <row r="199" spans="1:12" x14ac:dyDescent="0.25">
      <c r="A199" s="41" t="s">
        <v>526</v>
      </c>
      <c r="B199" s="44" t="s">
        <v>527</v>
      </c>
      <c r="C199" s="39">
        <v>2020</v>
      </c>
      <c r="D199" s="39">
        <v>0.4</v>
      </c>
      <c r="E199" s="39">
        <v>48</v>
      </c>
      <c r="F199" s="11">
        <v>40</v>
      </c>
      <c r="G199" s="50">
        <v>31.33</v>
      </c>
      <c r="H199" s="134"/>
      <c r="L199" s="48"/>
    </row>
    <row r="200" spans="1:12" x14ac:dyDescent="0.25">
      <c r="A200" s="41" t="s">
        <v>525</v>
      </c>
      <c r="B200" s="44" t="s">
        <v>527</v>
      </c>
      <c r="C200" s="39">
        <v>2020</v>
      </c>
      <c r="D200" s="39">
        <v>0.4</v>
      </c>
      <c r="E200" s="39">
        <v>21</v>
      </c>
      <c r="F200" s="11">
        <v>40</v>
      </c>
      <c r="G200" s="50">
        <v>13.71</v>
      </c>
      <c r="H200" s="134"/>
      <c r="K200" s="1">
        <v>683560.57</v>
      </c>
      <c r="L200" s="48"/>
    </row>
    <row r="201" spans="1:12" x14ac:dyDescent="0.25">
      <c r="A201" s="41" t="s">
        <v>487</v>
      </c>
      <c r="B201" s="44" t="s">
        <v>524</v>
      </c>
      <c r="C201" s="39">
        <v>2020</v>
      </c>
      <c r="D201" s="39">
        <v>0.4</v>
      </c>
      <c r="E201" s="39">
        <v>81</v>
      </c>
      <c r="F201" s="11">
        <v>10</v>
      </c>
      <c r="G201" s="50">
        <v>217.86</v>
      </c>
      <c r="H201" s="134"/>
      <c r="J201" s="1">
        <v>766.54157999999995</v>
      </c>
      <c r="K201" s="1">
        <v>95</v>
      </c>
      <c r="L201" s="48">
        <v>8.0688587369999993</v>
      </c>
    </row>
    <row r="202" spans="1:12" x14ac:dyDescent="0.25">
      <c r="A202" s="41" t="s">
        <v>526</v>
      </c>
      <c r="B202" s="44" t="s">
        <v>524</v>
      </c>
      <c r="C202" s="39">
        <v>2020</v>
      </c>
      <c r="D202" s="39">
        <v>0.4</v>
      </c>
      <c r="E202" s="39">
        <v>189</v>
      </c>
      <c r="F202" s="11">
        <v>10</v>
      </c>
      <c r="G202" s="50">
        <v>508.34</v>
      </c>
      <c r="H202" s="134"/>
      <c r="L202" s="48"/>
    </row>
    <row r="203" spans="1:12" x14ac:dyDescent="0.25">
      <c r="A203" s="41" t="s">
        <v>525</v>
      </c>
      <c r="B203" s="44" t="s">
        <v>524</v>
      </c>
      <c r="C203" s="39">
        <v>2020</v>
      </c>
      <c r="D203" s="39">
        <v>0.4</v>
      </c>
      <c r="E203" s="39">
        <v>5</v>
      </c>
      <c r="F203" s="11">
        <v>10</v>
      </c>
      <c r="G203" s="50">
        <v>40.340000000000003</v>
      </c>
      <c r="H203" s="134"/>
      <c r="L203" s="48"/>
    </row>
    <row r="204" spans="1:12" x14ac:dyDescent="0.25">
      <c r="A204" s="41" t="s">
        <v>482</v>
      </c>
      <c r="B204" s="44" t="s">
        <v>523</v>
      </c>
      <c r="C204" s="39">
        <v>2020</v>
      </c>
      <c r="D204" s="39">
        <v>0.4</v>
      </c>
      <c r="E204" s="38">
        <f>3*29</f>
        <v>87</v>
      </c>
      <c r="F204" s="11">
        <v>100</v>
      </c>
      <c r="G204" s="49">
        <v>311.47000000000003</v>
      </c>
      <c r="H204" s="144"/>
      <c r="J204" s="1">
        <v>488.51</v>
      </c>
      <c r="K204" s="1" t="e">
        <f>J204/#REF!</f>
        <v>#REF!</v>
      </c>
      <c r="L204" s="48"/>
    </row>
    <row r="205" spans="1:12" x14ac:dyDescent="0.25">
      <c r="A205" s="41" t="s">
        <v>493</v>
      </c>
      <c r="B205" s="44" t="s">
        <v>522</v>
      </c>
      <c r="C205" s="39">
        <v>2020</v>
      </c>
      <c r="D205" s="39">
        <v>0.4</v>
      </c>
      <c r="E205" s="38">
        <v>41</v>
      </c>
      <c r="F205" s="11">
        <v>100</v>
      </c>
      <c r="G205" s="49">
        <v>408.75</v>
      </c>
      <c r="H205" s="144"/>
      <c r="L205" s="48"/>
    </row>
    <row r="206" spans="1:12" x14ac:dyDescent="0.25">
      <c r="A206" s="41" t="s">
        <v>483</v>
      </c>
      <c r="B206" s="44" t="s">
        <v>522</v>
      </c>
      <c r="C206" s="39">
        <v>2020</v>
      </c>
      <c r="D206" s="39">
        <v>0.4</v>
      </c>
      <c r="E206" s="38">
        <v>8</v>
      </c>
      <c r="F206" s="11">
        <v>100</v>
      </c>
      <c r="G206" s="49">
        <v>79.760000000000005</v>
      </c>
      <c r="H206" s="144"/>
      <c r="J206" s="1">
        <v>311.47000000000003</v>
      </c>
      <c r="K206" s="1" t="e">
        <f>#REF!-J206</f>
        <v>#REF!</v>
      </c>
      <c r="L206" s="48"/>
    </row>
    <row r="207" spans="1:12" x14ac:dyDescent="0.25">
      <c r="A207" s="41" t="s">
        <v>482</v>
      </c>
      <c r="B207" s="44" t="s">
        <v>521</v>
      </c>
      <c r="C207" s="39">
        <v>2020</v>
      </c>
      <c r="D207" s="39">
        <v>0.4</v>
      </c>
      <c r="E207" s="38">
        <v>87</v>
      </c>
      <c r="F207" s="11">
        <v>100</v>
      </c>
      <c r="G207" s="49">
        <v>311.47000000000003</v>
      </c>
      <c r="H207" s="144"/>
      <c r="L207" s="48"/>
    </row>
    <row r="208" spans="1:12" x14ac:dyDescent="0.25">
      <c r="A208" s="41" t="s">
        <v>493</v>
      </c>
      <c r="B208" s="44" t="s">
        <v>521</v>
      </c>
      <c r="C208" s="39">
        <v>2020</v>
      </c>
      <c r="D208" s="39">
        <v>0.4</v>
      </c>
      <c r="E208" s="38">
        <v>41</v>
      </c>
      <c r="F208" s="11">
        <v>100</v>
      </c>
      <c r="G208" s="49">
        <v>408.75</v>
      </c>
      <c r="H208" s="144"/>
      <c r="L208" s="48"/>
    </row>
    <row r="209" spans="1:12" x14ac:dyDescent="0.25">
      <c r="A209" s="41" t="s">
        <v>483</v>
      </c>
      <c r="B209" s="44" t="s">
        <v>521</v>
      </c>
      <c r="C209" s="39">
        <v>2020</v>
      </c>
      <c r="D209" s="39">
        <v>0.4</v>
      </c>
      <c r="E209" s="38">
        <v>8</v>
      </c>
      <c r="F209" s="11">
        <v>100</v>
      </c>
      <c r="G209" s="49">
        <v>79.760000000000005</v>
      </c>
      <c r="H209" s="144"/>
      <c r="L209" s="48"/>
    </row>
    <row r="210" spans="1:12" x14ac:dyDescent="0.25">
      <c r="A210" s="41" t="s">
        <v>520</v>
      </c>
      <c r="B210" s="44" t="s">
        <v>517</v>
      </c>
      <c r="C210" s="39">
        <v>2020</v>
      </c>
      <c r="D210" s="39">
        <v>6</v>
      </c>
      <c r="E210" s="38">
        <f>3*8</f>
        <v>24</v>
      </c>
      <c r="F210" s="348">
        <v>300</v>
      </c>
      <c r="G210" s="42">
        <v>263.57</v>
      </c>
      <c r="H210" s="145"/>
      <c r="J210" s="15"/>
      <c r="K210" s="1">
        <v>223</v>
      </c>
      <c r="L210" s="48"/>
    </row>
    <row r="211" spans="1:12" x14ac:dyDescent="0.25">
      <c r="A211" s="41" t="s">
        <v>519</v>
      </c>
      <c r="B211" s="44" t="s">
        <v>517</v>
      </c>
      <c r="C211" s="39">
        <v>2020</v>
      </c>
      <c r="D211" s="39">
        <v>6</v>
      </c>
      <c r="E211" s="38">
        <v>29</v>
      </c>
      <c r="F211" s="349"/>
      <c r="G211" s="42">
        <v>72.650000000000006</v>
      </c>
      <c r="H211" s="145"/>
      <c r="K211" s="1" t="e">
        <f>#REF!/K210</f>
        <v>#REF!</v>
      </c>
      <c r="L211" s="48"/>
    </row>
    <row r="212" spans="1:12" ht="15.75" customHeight="1" x14ac:dyDescent="0.25">
      <c r="A212" s="41" t="s">
        <v>518</v>
      </c>
      <c r="B212" s="44" t="s">
        <v>517</v>
      </c>
      <c r="C212" s="39">
        <v>2020</v>
      </c>
      <c r="D212" s="39">
        <v>6</v>
      </c>
      <c r="E212" s="38">
        <f>3*10</f>
        <v>30</v>
      </c>
      <c r="F212" s="350"/>
      <c r="G212" s="42">
        <v>42.74</v>
      </c>
      <c r="H212" s="145"/>
    </row>
    <row r="213" spans="1:12" ht="15.75" customHeight="1" x14ac:dyDescent="0.25">
      <c r="A213" s="41" t="s">
        <v>516</v>
      </c>
      <c r="B213" s="44" t="s">
        <v>429</v>
      </c>
      <c r="C213" s="39">
        <v>2021</v>
      </c>
      <c r="D213" s="39">
        <v>0.4</v>
      </c>
      <c r="E213" s="38">
        <v>65</v>
      </c>
      <c r="F213" s="11">
        <v>15</v>
      </c>
      <c r="G213" s="42">
        <v>43.040199999999999</v>
      </c>
      <c r="H213" s="145"/>
      <c r="I213" s="1" t="s">
        <v>428</v>
      </c>
    </row>
    <row r="214" spans="1:12" ht="15.75" customHeight="1" x14ac:dyDescent="0.25">
      <c r="A214" s="41" t="s">
        <v>483</v>
      </c>
      <c r="B214" s="44" t="s">
        <v>427</v>
      </c>
      <c r="C214" s="39">
        <v>2021</v>
      </c>
      <c r="D214" s="39">
        <v>0.4</v>
      </c>
      <c r="E214" s="38">
        <v>145</v>
      </c>
      <c r="F214" s="11">
        <v>100</v>
      </c>
      <c r="G214" s="42">
        <v>426.01499999999999</v>
      </c>
      <c r="H214" s="145"/>
      <c r="I214" s="1" t="s">
        <v>426</v>
      </c>
    </row>
    <row r="215" spans="1:12" ht="15.75" customHeight="1" x14ac:dyDescent="0.25">
      <c r="A215" s="41" t="s">
        <v>482</v>
      </c>
      <c r="B215" s="44" t="s">
        <v>427</v>
      </c>
      <c r="C215" s="39">
        <v>2021</v>
      </c>
      <c r="D215" s="39">
        <v>0.4</v>
      </c>
      <c r="E215" s="38">
        <v>103</v>
      </c>
      <c r="F215" s="11">
        <v>100</v>
      </c>
      <c r="G215" s="42">
        <v>1102.3800000000001</v>
      </c>
      <c r="H215" s="145"/>
    </row>
    <row r="216" spans="1:12" ht="15.75" customHeight="1" x14ac:dyDescent="0.25">
      <c r="A216" s="47" t="s">
        <v>483</v>
      </c>
      <c r="B216" s="46" t="s">
        <v>515</v>
      </c>
      <c r="C216" s="45">
        <v>2021</v>
      </c>
      <c r="D216" s="45">
        <v>0.4</v>
      </c>
      <c r="E216" s="38">
        <v>135</v>
      </c>
      <c r="F216" s="11">
        <v>70</v>
      </c>
      <c r="G216" s="42">
        <v>366.88200000000001</v>
      </c>
      <c r="H216" s="145"/>
      <c r="I216" s="1" t="s">
        <v>420</v>
      </c>
    </row>
    <row r="217" spans="1:12" ht="15.75" customHeight="1" x14ac:dyDescent="0.25">
      <c r="A217" s="47" t="s">
        <v>482</v>
      </c>
      <c r="B217" s="46" t="s">
        <v>515</v>
      </c>
      <c r="C217" s="45">
        <v>2021</v>
      </c>
      <c r="D217" s="45">
        <v>0.4</v>
      </c>
      <c r="E217" s="38">
        <v>63</v>
      </c>
      <c r="F217" s="11">
        <v>70</v>
      </c>
      <c r="G217" s="42">
        <v>690.91800000000001</v>
      </c>
      <c r="H217" s="145"/>
      <c r="J217" s="1" t="s">
        <v>501</v>
      </c>
    </row>
    <row r="218" spans="1:12" ht="15.75" customHeight="1" x14ac:dyDescent="0.25">
      <c r="A218" s="47" t="s">
        <v>487</v>
      </c>
      <c r="B218" s="46" t="s">
        <v>515</v>
      </c>
      <c r="C218" s="45">
        <v>2021</v>
      </c>
      <c r="D218" s="45">
        <v>0.4</v>
      </c>
      <c r="E218" s="38">
        <v>43</v>
      </c>
      <c r="F218" s="11">
        <v>70</v>
      </c>
      <c r="G218" s="42">
        <v>150.73599999999999</v>
      </c>
      <c r="H218" s="145"/>
    </row>
    <row r="219" spans="1:12" ht="15.75" customHeight="1" x14ac:dyDescent="0.25">
      <c r="A219" s="47" t="s">
        <v>486</v>
      </c>
      <c r="B219" s="46" t="s">
        <v>515</v>
      </c>
      <c r="C219" s="45">
        <v>2021</v>
      </c>
      <c r="D219" s="45">
        <v>0.4</v>
      </c>
      <c r="E219" s="38">
        <v>22</v>
      </c>
      <c r="F219" s="11">
        <v>70</v>
      </c>
      <c r="G219" s="42">
        <v>316.93599999999998</v>
      </c>
      <c r="H219" s="145"/>
      <c r="I219" s="1">
        <v>1525470.7</v>
      </c>
      <c r="J219" s="1" t="s">
        <v>513</v>
      </c>
    </row>
    <row r="220" spans="1:12" ht="15.75" customHeight="1" x14ac:dyDescent="0.25">
      <c r="A220" s="47" t="s">
        <v>484</v>
      </c>
      <c r="B220" s="46" t="s">
        <v>514</v>
      </c>
      <c r="C220" s="45">
        <v>2021</v>
      </c>
      <c r="D220" s="45">
        <v>10</v>
      </c>
      <c r="E220" s="38">
        <v>156</v>
      </c>
      <c r="F220" s="11">
        <v>100</v>
      </c>
      <c r="G220" s="42">
        <v>89.548900000000003</v>
      </c>
      <c r="H220" s="145"/>
      <c r="I220" s="1" t="s">
        <v>361</v>
      </c>
    </row>
    <row r="221" spans="1:12" ht="15.75" customHeight="1" x14ac:dyDescent="0.25">
      <c r="A221" s="47" t="s">
        <v>483</v>
      </c>
      <c r="B221" s="46" t="s">
        <v>416</v>
      </c>
      <c r="C221" s="45">
        <v>2021</v>
      </c>
      <c r="D221" s="45">
        <v>0.4</v>
      </c>
      <c r="E221" s="38">
        <v>234</v>
      </c>
      <c r="F221" s="11">
        <v>40</v>
      </c>
      <c r="G221" s="42">
        <v>360.67500000000001</v>
      </c>
      <c r="H221" s="145"/>
      <c r="I221" s="1" t="s">
        <v>415</v>
      </c>
    </row>
    <row r="222" spans="1:12" ht="15.75" customHeight="1" x14ac:dyDescent="0.25">
      <c r="A222" s="47" t="s">
        <v>482</v>
      </c>
      <c r="B222" s="46" t="s">
        <v>416</v>
      </c>
      <c r="C222" s="45">
        <v>2021</v>
      </c>
      <c r="D222" s="45">
        <v>0.4</v>
      </c>
      <c r="E222" s="38">
        <v>34</v>
      </c>
      <c r="F222" s="11">
        <v>40</v>
      </c>
      <c r="G222" s="42">
        <v>349.78699999999998</v>
      </c>
      <c r="H222" s="145"/>
      <c r="I222" s="1">
        <v>1633840.08</v>
      </c>
      <c r="J222" s="1" t="s">
        <v>501</v>
      </c>
    </row>
    <row r="223" spans="1:12" ht="15.75" customHeight="1" x14ac:dyDescent="0.25">
      <c r="A223" s="47" t="s">
        <v>487</v>
      </c>
      <c r="B223" s="46" t="s">
        <v>416</v>
      </c>
      <c r="C223" s="45">
        <v>2021</v>
      </c>
      <c r="D223" s="45">
        <v>0.4</v>
      </c>
      <c r="E223" s="38">
        <v>40</v>
      </c>
      <c r="F223" s="11">
        <v>40</v>
      </c>
      <c r="G223" s="42">
        <v>344.62</v>
      </c>
      <c r="H223" s="145"/>
    </row>
    <row r="224" spans="1:12" ht="15.75" customHeight="1" x14ac:dyDescent="0.25">
      <c r="A224" s="47" t="s">
        <v>486</v>
      </c>
      <c r="B224" s="46" t="s">
        <v>416</v>
      </c>
      <c r="C224" s="45">
        <v>2021</v>
      </c>
      <c r="D224" s="45">
        <v>0.4</v>
      </c>
      <c r="E224" s="38">
        <v>43</v>
      </c>
      <c r="F224" s="11">
        <v>40</v>
      </c>
      <c r="G224" s="42">
        <v>578.75699999999995</v>
      </c>
      <c r="H224" s="145"/>
      <c r="J224" s="1" t="s">
        <v>513</v>
      </c>
    </row>
    <row r="225" spans="1:10" ht="15.75" customHeight="1" x14ac:dyDescent="0.25">
      <c r="A225" s="47" t="s">
        <v>487</v>
      </c>
      <c r="B225" s="46" t="s">
        <v>511</v>
      </c>
      <c r="C225" s="45">
        <v>2021</v>
      </c>
      <c r="D225" s="45">
        <v>6</v>
      </c>
      <c r="E225" s="38">
        <v>266</v>
      </c>
      <c r="F225" s="11">
        <v>30</v>
      </c>
      <c r="G225" s="42">
        <v>603.80200000000002</v>
      </c>
      <c r="H225" s="145"/>
      <c r="I225" s="1" t="s">
        <v>358</v>
      </c>
      <c r="J225" s="1" t="s">
        <v>512</v>
      </c>
    </row>
    <row r="226" spans="1:10" ht="15.75" customHeight="1" x14ac:dyDescent="0.25">
      <c r="A226" s="47" t="s">
        <v>486</v>
      </c>
      <c r="B226" s="46" t="s">
        <v>511</v>
      </c>
      <c r="C226" s="45">
        <v>2021</v>
      </c>
      <c r="D226" s="45">
        <v>6</v>
      </c>
      <c r="E226" s="38">
        <v>50</v>
      </c>
      <c r="F226" s="11">
        <v>30</v>
      </c>
      <c r="G226" s="42">
        <v>750.27700000000004</v>
      </c>
      <c r="H226" s="145"/>
      <c r="J226" s="1" t="s">
        <v>510</v>
      </c>
    </row>
    <row r="227" spans="1:10" ht="15.75" customHeight="1" x14ac:dyDescent="0.25">
      <c r="A227" s="47" t="s">
        <v>483</v>
      </c>
      <c r="B227" s="46" t="s">
        <v>410</v>
      </c>
      <c r="C227" s="45">
        <v>2021</v>
      </c>
      <c r="D227" s="45">
        <v>0.4</v>
      </c>
      <c r="E227" s="38">
        <v>226</v>
      </c>
      <c r="F227" s="11">
        <v>50</v>
      </c>
      <c r="G227" s="42">
        <v>630.51400000000001</v>
      </c>
      <c r="H227" s="145"/>
      <c r="I227" s="1" t="s">
        <v>409</v>
      </c>
      <c r="J227" s="1" t="s">
        <v>501</v>
      </c>
    </row>
    <row r="228" spans="1:10" ht="15.75" customHeight="1" x14ac:dyDescent="0.25">
      <c r="A228" s="47" t="s">
        <v>482</v>
      </c>
      <c r="B228" s="46" t="s">
        <v>410</v>
      </c>
      <c r="C228" s="45">
        <v>2021</v>
      </c>
      <c r="D228" s="45">
        <v>0.4</v>
      </c>
      <c r="E228" s="38">
        <v>29</v>
      </c>
      <c r="F228" s="11">
        <v>50</v>
      </c>
      <c r="G228" s="42">
        <v>501.66500000000002</v>
      </c>
      <c r="H228" s="145"/>
    </row>
    <row r="229" spans="1:10" ht="15.75" customHeight="1" x14ac:dyDescent="0.25">
      <c r="A229" s="47" t="s">
        <v>509</v>
      </c>
      <c r="B229" s="46" t="s">
        <v>507</v>
      </c>
      <c r="C229" s="45">
        <v>2021</v>
      </c>
      <c r="D229" s="45">
        <v>0.4</v>
      </c>
      <c r="E229" s="38">
        <v>73</v>
      </c>
      <c r="F229" s="11">
        <v>30</v>
      </c>
      <c r="G229" s="42">
        <v>195.86</v>
      </c>
      <c r="H229" s="145"/>
      <c r="I229" s="1" t="s">
        <v>506</v>
      </c>
    </row>
    <row r="230" spans="1:10" ht="15.75" customHeight="1" x14ac:dyDescent="0.25">
      <c r="A230" s="47" t="s">
        <v>508</v>
      </c>
      <c r="B230" s="46" t="s">
        <v>507</v>
      </c>
      <c r="C230" s="45">
        <v>2021</v>
      </c>
      <c r="D230" s="45">
        <v>0.4</v>
      </c>
      <c r="E230" s="38">
        <v>42</v>
      </c>
      <c r="F230" s="11">
        <v>30</v>
      </c>
      <c r="G230" s="42">
        <v>587.30100000000004</v>
      </c>
      <c r="H230" s="145"/>
      <c r="I230" s="1" t="s">
        <v>506</v>
      </c>
    </row>
    <row r="231" spans="1:10" ht="15.75" customHeight="1" x14ac:dyDescent="0.25">
      <c r="A231" s="47" t="s">
        <v>483</v>
      </c>
      <c r="B231" s="46" t="s">
        <v>408</v>
      </c>
      <c r="C231" s="45">
        <v>2021</v>
      </c>
      <c r="D231" s="45">
        <v>0.4</v>
      </c>
      <c r="E231" s="38">
        <v>157</v>
      </c>
      <c r="F231" s="11">
        <v>140</v>
      </c>
      <c r="G231" s="42">
        <v>531.41899999999998</v>
      </c>
      <c r="H231" s="145"/>
      <c r="I231" s="1" t="s">
        <v>505</v>
      </c>
      <c r="J231" s="1">
        <v>23630.44</v>
      </c>
    </row>
    <row r="232" spans="1:10" ht="15.75" customHeight="1" x14ac:dyDescent="0.25">
      <c r="A232" s="47" t="s">
        <v>482</v>
      </c>
      <c r="B232" s="46" t="s">
        <v>408</v>
      </c>
      <c r="C232" s="45">
        <v>2021</v>
      </c>
      <c r="D232" s="45">
        <v>0.4</v>
      </c>
      <c r="E232" s="38">
        <v>20</v>
      </c>
      <c r="F232" s="11">
        <v>140</v>
      </c>
      <c r="G232" s="42">
        <v>238.88499999999999</v>
      </c>
      <c r="H232" s="145"/>
      <c r="I232" s="1" t="s">
        <v>501</v>
      </c>
      <c r="J232" s="1">
        <v>24904.62</v>
      </c>
    </row>
    <row r="233" spans="1:10" ht="15.75" customHeight="1" x14ac:dyDescent="0.25">
      <c r="A233" s="47" t="s">
        <v>484</v>
      </c>
      <c r="B233" s="46" t="s">
        <v>504</v>
      </c>
      <c r="C233" s="45">
        <v>2021</v>
      </c>
      <c r="D233" s="45">
        <v>6</v>
      </c>
      <c r="E233" s="38">
        <v>330</v>
      </c>
      <c r="F233" s="11">
        <v>150</v>
      </c>
      <c r="G233" s="42">
        <v>840.44</v>
      </c>
      <c r="H233" s="145"/>
      <c r="I233" s="1" t="s">
        <v>353</v>
      </c>
    </row>
    <row r="234" spans="1:10" ht="15.75" customHeight="1" x14ac:dyDescent="0.25">
      <c r="A234" s="47" t="s">
        <v>483</v>
      </c>
      <c r="B234" s="46" t="s">
        <v>502</v>
      </c>
      <c r="C234" s="45">
        <v>2021</v>
      </c>
      <c r="D234" s="45">
        <v>0.4</v>
      </c>
      <c r="E234" s="38">
        <v>180</v>
      </c>
      <c r="F234" s="11">
        <v>40</v>
      </c>
      <c r="G234" s="42">
        <v>391.59199999999998</v>
      </c>
      <c r="H234" s="145"/>
      <c r="I234" s="1" t="s">
        <v>503</v>
      </c>
    </row>
    <row r="235" spans="1:10" ht="15.75" customHeight="1" x14ac:dyDescent="0.25">
      <c r="A235" s="47" t="s">
        <v>482</v>
      </c>
      <c r="B235" s="46" t="s">
        <v>502</v>
      </c>
      <c r="C235" s="45">
        <v>2021</v>
      </c>
      <c r="D235" s="45">
        <v>0.4</v>
      </c>
      <c r="E235" s="38">
        <v>30</v>
      </c>
      <c r="F235" s="11">
        <v>40</v>
      </c>
      <c r="G235" s="42">
        <v>358.017</v>
      </c>
      <c r="H235" s="145"/>
      <c r="I235" s="1" t="s">
        <v>501</v>
      </c>
    </row>
    <row r="236" spans="1:10" ht="15.75" customHeight="1" x14ac:dyDescent="0.25">
      <c r="A236" s="47" t="s">
        <v>483</v>
      </c>
      <c r="B236" s="46" t="s">
        <v>500</v>
      </c>
      <c r="C236" s="45">
        <v>2021</v>
      </c>
      <c r="D236" s="45">
        <v>0.4</v>
      </c>
      <c r="E236" s="38">
        <v>26</v>
      </c>
      <c r="F236" s="11">
        <v>50</v>
      </c>
      <c r="G236" s="42">
        <v>113.44</v>
      </c>
      <c r="H236" s="145"/>
      <c r="I236" s="1" t="s">
        <v>417</v>
      </c>
    </row>
    <row r="237" spans="1:10" ht="15.75" customHeight="1" x14ac:dyDescent="0.25">
      <c r="A237" s="41" t="s">
        <v>483</v>
      </c>
      <c r="B237" s="44" t="s">
        <v>402</v>
      </c>
      <c r="C237" s="39">
        <v>2021</v>
      </c>
      <c r="D237" s="39">
        <v>0.4</v>
      </c>
      <c r="E237" s="38">
        <v>177</v>
      </c>
      <c r="F237" s="11">
        <v>200</v>
      </c>
      <c r="G237" s="42">
        <v>447.87599999999998</v>
      </c>
      <c r="H237" s="145"/>
      <c r="I237" s="1" t="s">
        <v>499</v>
      </c>
    </row>
    <row r="238" spans="1:10" ht="15.75" customHeight="1" x14ac:dyDescent="0.25">
      <c r="A238" s="41" t="s">
        <v>482</v>
      </c>
      <c r="B238" s="44" t="s">
        <v>402</v>
      </c>
      <c r="C238" s="39">
        <v>2021</v>
      </c>
      <c r="D238" s="39">
        <v>0.4</v>
      </c>
      <c r="E238" s="38">
        <v>123</v>
      </c>
      <c r="F238" s="11">
        <v>200</v>
      </c>
      <c r="G238" s="42">
        <v>2771.76</v>
      </c>
      <c r="H238" s="145"/>
      <c r="I238" s="1" t="s">
        <v>498</v>
      </c>
      <c r="J238" s="1" t="s">
        <v>497</v>
      </c>
    </row>
    <row r="239" spans="1:10" ht="20.100000000000001" customHeight="1" x14ac:dyDescent="0.25">
      <c r="A239" s="41" t="s">
        <v>483</v>
      </c>
      <c r="B239" s="44" t="s">
        <v>496</v>
      </c>
      <c r="C239" s="39">
        <v>2021</v>
      </c>
      <c r="D239" s="39">
        <v>6</v>
      </c>
      <c r="E239" s="38">
        <v>26</v>
      </c>
      <c r="F239" s="11">
        <v>892</v>
      </c>
      <c r="G239" s="42">
        <v>76.820300000000003</v>
      </c>
      <c r="H239" s="145"/>
      <c r="I239" s="1" t="s">
        <v>495</v>
      </c>
      <c r="J239" s="1" t="s">
        <v>494</v>
      </c>
    </row>
    <row r="240" spans="1:10" ht="20.100000000000001" customHeight="1" x14ac:dyDescent="0.25">
      <c r="A240" s="41" t="s">
        <v>483</v>
      </c>
      <c r="B240" s="40" t="s">
        <v>395</v>
      </c>
      <c r="C240" s="45">
        <v>2022</v>
      </c>
      <c r="D240" s="39">
        <v>0.4</v>
      </c>
      <c r="E240" s="351">
        <v>198</v>
      </c>
      <c r="F240" s="348">
        <v>100</v>
      </c>
      <c r="G240" s="42">
        <v>39.807885000000006</v>
      </c>
      <c r="H240" s="149"/>
    </row>
    <row r="241" spans="1:8" ht="20.100000000000001" customHeight="1" x14ac:dyDescent="0.25">
      <c r="A241" s="47" t="s">
        <v>483</v>
      </c>
      <c r="B241" s="85" t="s">
        <v>395</v>
      </c>
      <c r="C241" s="45">
        <v>2022</v>
      </c>
      <c r="D241" s="39">
        <v>0.4</v>
      </c>
      <c r="E241" s="352"/>
      <c r="F241" s="350"/>
      <c r="G241" s="42">
        <v>39.807885000000006</v>
      </c>
      <c r="H241" s="145"/>
    </row>
    <row r="242" spans="1:8" ht="20.100000000000001" customHeight="1" x14ac:dyDescent="0.25">
      <c r="A242" s="47" t="s">
        <v>483</v>
      </c>
      <c r="B242" s="85" t="s">
        <v>391</v>
      </c>
      <c r="C242" s="45">
        <v>2022</v>
      </c>
      <c r="D242" s="45">
        <v>0.4</v>
      </c>
      <c r="E242" s="86">
        <v>177</v>
      </c>
      <c r="F242" s="50">
        <v>135</v>
      </c>
      <c r="G242" s="42">
        <v>40.693985925925929</v>
      </c>
      <c r="H242" s="145"/>
    </row>
    <row r="243" spans="1:8" ht="20.100000000000001" customHeight="1" x14ac:dyDescent="0.25">
      <c r="A243" s="47" t="s">
        <v>687</v>
      </c>
      <c r="B243" s="85" t="s">
        <v>96</v>
      </c>
      <c r="C243" s="45">
        <v>2022</v>
      </c>
      <c r="D243" s="45">
        <v>10</v>
      </c>
      <c r="E243" s="329">
        <v>176</v>
      </c>
      <c r="F243" s="354">
        <v>232.5</v>
      </c>
      <c r="G243" s="42">
        <v>79.966978064516127</v>
      </c>
      <c r="H243" s="145"/>
    </row>
    <row r="244" spans="1:8" ht="20.100000000000001" customHeight="1" x14ac:dyDescent="0.25">
      <c r="A244" s="47" t="s">
        <v>687</v>
      </c>
      <c r="B244" s="85" t="s">
        <v>95</v>
      </c>
      <c r="C244" s="45">
        <v>2022</v>
      </c>
      <c r="D244" s="45">
        <v>10</v>
      </c>
      <c r="E244" s="353"/>
      <c r="F244" s="355"/>
      <c r="G244" s="42">
        <v>79.966978064516127</v>
      </c>
      <c r="H244" s="145"/>
    </row>
    <row r="245" spans="1:8" ht="20.100000000000001" customHeight="1" thickBot="1" x14ac:dyDescent="0.3">
      <c r="A245" s="47" t="s">
        <v>687</v>
      </c>
      <c r="B245" s="85" t="s">
        <v>94</v>
      </c>
      <c r="C245" s="45">
        <v>2022</v>
      </c>
      <c r="D245" s="45">
        <v>10</v>
      </c>
      <c r="E245" s="330"/>
      <c r="F245" s="356"/>
      <c r="G245" s="42">
        <v>26.655659354838711</v>
      </c>
      <c r="H245" s="145"/>
    </row>
    <row r="246" spans="1:8" ht="20.100000000000001" customHeight="1" thickBot="1" x14ac:dyDescent="0.3">
      <c r="A246" s="151" t="s">
        <v>483</v>
      </c>
      <c r="B246" s="86" t="s">
        <v>395</v>
      </c>
      <c r="C246" s="120">
        <v>2022</v>
      </c>
      <c r="D246" s="336">
        <v>0.4</v>
      </c>
      <c r="E246" s="327">
        <v>198</v>
      </c>
      <c r="F246" s="336">
        <f>50+20+15+15</f>
        <v>100</v>
      </c>
      <c r="G246" s="121">
        <v>132.69295000000002</v>
      </c>
      <c r="H246" s="1" t="s">
        <v>711</v>
      </c>
    </row>
    <row r="247" spans="1:8" ht="20.100000000000001" customHeight="1" x14ac:dyDescent="0.25">
      <c r="A247" s="151" t="s">
        <v>483</v>
      </c>
      <c r="B247" s="86" t="s">
        <v>394</v>
      </c>
      <c r="C247" s="120">
        <v>2022</v>
      </c>
      <c r="D247" s="328"/>
      <c r="E247" s="328"/>
      <c r="F247" s="328"/>
      <c r="G247" s="121">
        <v>53.077180000000006</v>
      </c>
      <c r="H247" s="145"/>
    </row>
    <row r="248" spans="1:8" ht="20.100000000000001" customHeight="1" x14ac:dyDescent="0.25">
      <c r="A248" s="150" t="s">
        <v>726</v>
      </c>
      <c r="B248" s="86" t="s">
        <v>390</v>
      </c>
      <c r="C248" s="120">
        <v>2022</v>
      </c>
      <c r="D248" s="327">
        <v>0.4</v>
      </c>
      <c r="E248" s="327">
        <v>177</v>
      </c>
      <c r="F248" s="329">
        <f>100+30+5</f>
        <v>135</v>
      </c>
      <c r="G248" s="121">
        <v>813.87971851851864</v>
      </c>
      <c r="H248" s="145"/>
    </row>
    <row r="249" spans="1:8" ht="20.100000000000001" customHeight="1" x14ac:dyDescent="0.25">
      <c r="A249" s="150" t="s">
        <v>726</v>
      </c>
      <c r="B249" s="86" t="s">
        <v>389</v>
      </c>
      <c r="C249" s="120">
        <v>2022</v>
      </c>
      <c r="D249" s="328"/>
      <c r="E249" s="328"/>
      <c r="F249" s="330"/>
      <c r="G249" s="121">
        <v>244.16391555555558</v>
      </c>
      <c r="H249" s="145"/>
    </row>
    <row r="250" spans="1:8" ht="20.100000000000001" customHeight="1" x14ac:dyDescent="0.25">
      <c r="A250" s="150" t="s">
        <v>727</v>
      </c>
      <c r="B250" s="86" t="s">
        <v>492</v>
      </c>
      <c r="C250" s="120">
        <v>2022</v>
      </c>
      <c r="D250" s="327">
        <v>0.4</v>
      </c>
      <c r="E250" s="327">
        <v>213</v>
      </c>
      <c r="F250" s="327">
        <f>40+30+40+30</f>
        <v>140</v>
      </c>
      <c r="G250" s="121">
        <v>764.80535428571443</v>
      </c>
      <c r="H250" s="145"/>
    </row>
    <row r="251" spans="1:8" ht="20.100000000000001" customHeight="1" x14ac:dyDescent="0.25">
      <c r="A251" s="150" t="s">
        <v>727</v>
      </c>
      <c r="B251" s="86" t="s">
        <v>491</v>
      </c>
      <c r="C251" s="120">
        <v>2022</v>
      </c>
      <c r="D251" s="331"/>
      <c r="E251" s="331"/>
      <c r="F251" s="331"/>
      <c r="G251" s="121">
        <v>573.60401571428577</v>
      </c>
      <c r="H251" s="145"/>
    </row>
    <row r="252" spans="1:8" ht="20.100000000000001" customHeight="1" x14ac:dyDescent="0.25">
      <c r="A252" s="150" t="s">
        <v>727</v>
      </c>
      <c r="B252" s="86" t="s">
        <v>490</v>
      </c>
      <c r="C252" s="120">
        <v>2022</v>
      </c>
      <c r="D252" s="331"/>
      <c r="E252" s="331"/>
      <c r="F252" s="331"/>
      <c r="G252" s="121">
        <v>764.80535428571443</v>
      </c>
      <c r="H252" s="145"/>
    </row>
    <row r="253" spans="1:8" ht="20.100000000000001" customHeight="1" x14ac:dyDescent="0.25">
      <c r="A253" s="150" t="s">
        <v>727</v>
      </c>
      <c r="B253" s="86" t="s">
        <v>489</v>
      </c>
      <c r="C253" s="120">
        <v>2022</v>
      </c>
      <c r="D253" s="328"/>
      <c r="E253" s="328"/>
      <c r="F253" s="328"/>
      <c r="G253" s="121">
        <v>573.60401571428577</v>
      </c>
      <c r="H253" s="145"/>
    </row>
    <row r="254" spans="1:8" ht="20.100000000000001" customHeight="1" x14ac:dyDescent="0.25">
      <c r="A254" s="125" t="s">
        <v>726</v>
      </c>
      <c r="B254" s="86" t="s">
        <v>488</v>
      </c>
      <c r="C254" s="120">
        <v>2022</v>
      </c>
      <c r="D254" s="120">
        <v>0.4</v>
      </c>
      <c r="E254" s="120">
        <v>168</v>
      </c>
      <c r="F254" s="86">
        <v>100</v>
      </c>
      <c r="G254" s="121">
        <v>1483.5737300000001</v>
      </c>
      <c r="H254" s="145"/>
    </row>
    <row r="255" spans="1:8" ht="20.100000000000001" customHeight="1" x14ac:dyDescent="0.25">
      <c r="A255" s="125" t="s">
        <v>726</v>
      </c>
      <c r="B255" s="111" t="s">
        <v>387</v>
      </c>
      <c r="C255" s="120">
        <v>2022</v>
      </c>
      <c r="D255" s="120">
        <v>0.4</v>
      </c>
      <c r="E255" s="120">
        <v>262</v>
      </c>
      <c r="F255" s="86">
        <v>60</v>
      </c>
      <c r="G255" s="121">
        <v>2093.6139699999999</v>
      </c>
      <c r="H255" s="145"/>
    </row>
    <row r="256" spans="1:8" ht="20.100000000000001" customHeight="1" x14ac:dyDescent="0.25">
      <c r="A256" s="150" t="s">
        <v>728</v>
      </c>
      <c r="B256" s="86" t="s">
        <v>349</v>
      </c>
      <c r="C256" s="120">
        <v>2022</v>
      </c>
      <c r="D256" s="327">
        <v>6</v>
      </c>
      <c r="E256" s="327">
        <v>405</v>
      </c>
      <c r="F256" s="329">
        <f>150+100</f>
        <v>250</v>
      </c>
      <c r="G256" s="121">
        <v>2425.4265720000003</v>
      </c>
      <c r="H256" s="145"/>
    </row>
    <row r="257" spans="1:8" ht="20.100000000000001" customHeight="1" x14ac:dyDescent="0.25">
      <c r="A257" s="150" t="s">
        <v>728</v>
      </c>
      <c r="B257" s="86" t="s">
        <v>348</v>
      </c>
      <c r="C257" s="120">
        <v>2022</v>
      </c>
      <c r="D257" s="328"/>
      <c r="E257" s="328"/>
      <c r="F257" s="330"/>
      <c r="G257" s="121">
        <v>1616.9510480000001</v>
      </c>
      <c r="H257" s="145"/>
    </row>
    <row r="258" spans="1:8" ht="20.100000000000001" customHeight="1" x14ac:dyDescent="0.25">
      <c r="A258" s="125" t="s">
        <v>729</v>
      </c>
      <c r="B258" s="86" t="s">
        <v>347</v>
      </c>
      <c r="C258" s="120">
        <v>2022</v>
      </c>
      <c r="D258" s="120">
        <v>0.4</v>
      </c>
      <c r="E258" s="120">
        <v>214</v>
      </c>
      <c r="F258" s="86">
        <v>50</v>
      </c>
      <c r="G258" s="126">
        <v>746.28890999999999</v>
      </c>
      <c r="H258" s="145"/>
    </row>
    <row r="259" spans="1:8" ht="20.100000000000001" customHeight="1" x14ac:dyDescent="0.25">
      <c r="A259" s="125" t="s">
        <v>728</v>
      </c>
      <c r="B259" s="86" t="s">
        <v>347</v>
      </c>
      <c r="C259" s="120">
        <v>2022</v>
      </c>
      <c r="D259" s="120">
        <v>6</v>
      </c>
      <c r="E259" s="120">
        <v>330</v>
      </c>
      <c r="F259" s="86">
        <f>250*0.94</f>
        <v>235</v>
      </c>
      <c r="G259" s="126">
        <v>293.20091702127661</v>
      </c>
      <c r="H259" s="145"/>
    </row>
    <row r="260" spans="1:8" ht="20.100000000000001" customHeight="1" x14ac:dyDescent="0.25">
      <c r="A260" s="125" t="s">
        <v>730</v>
      </c>
      <c r="B260" s="111" t="s">
        <v>342</v>
      </c>
      <c r="C260" s="120">
        <v>2022</v>
      </c>
      <c r="D260" s="120">
        <v>10</v>
      </c>
      <c r="E260" s="120">
        <v>176</v>
      </c>
      <c r="F260" s="86">
        <f>250*0.93</f>
        <v>232.5</v>
      </c>
      <c r="G260" s="127">
        <v>799.66978064516127</v>
      </c>
      <c r="H260" s="145"/>
    </row>
    <row r="261" spans="1:8" ht="20.100000000000001" customHeight="1" x14ac:dyDescent="0.25">
      <c r="A261" s="125" t="s">
        <v>728</v>
      </c>
      <c r="B261" s="97" t="s">
        <v>340</v>
      </c>
      <c r="C261" s="120">
        <v>2022</v>
      </c>
      <c r="D261" s="120">
        <v>10</v>
      </c>
      <c r="E261" s="120">
        <v>28</v>
      </c>
      <c r="F261" s="120">
        <f>250*0.93</f>
        <v>232.5</v>
      </c>
      <c r="G261" s="121">
        <v>38.515651612903227</v>
      </c>
      <c r="H261" s="145"/>
    </row>
    <row r="262" spans="1:8" ht="20.100000000000001" customHeight="1" x14ac:dyDescent="0.25">
      <c r="A262" s="125" t="s">
        <v>726</v>
      </c>
      <c r="B262" s="97" t="s">
        <v>338</v>
      </c>
      <c r="C262" s="120">
        <v>2022</v>
      </c>
      <c r="D262" s="120">
        <v>0.4</v>
      </c>
      <c r="E262" s="120">
        <v>32.5</v>
      </c>
      <c r="F262" s="128">
        <v>100</v>
      </c>
      <c r="G262" s="129">
        <v>113.16369999999999</v>
      </c>
      <c r="H262" s="145"/>
    </row>
    <row r="263" spans="1:8" ht="20.100000000000001" customHeight="1" x14ac:dyDescent="0.25">
      <c r="A263" s="125" t="s">
        <v>728</v>
      </c>
      <c r="B263" s="97" t="s">
        <v>338</v>
      </c>
      <c r="C263" s="120">
        <v>2022</v>
      </c>
      <c r="D263" s="120">
        <v>6</v>
      </c>
      <c r="E263" s="120">
        <v>81</v>
      </c>
      <c r="F263" s="128">
        <f>160*0.94</f>
        <v>150.39999999999998</v>
      </c>
      <c r="G263" s="129">
        <v>495.93073138297876</v>
      </c>
      <c r="H263" s="145"/>
    </row>
    <row r="264" spans="1:8" ht="20.100000000000001" customHeight="1" x14ac:dyDescent="0.25">
      <c r="A264" s="125" t="s">
        <v>728</v>
      </c>
      <c r="B264" s="97" t="s">
        <v>338</v>
      </c>
      <c r="C264" s="120">
        <v>2022</v>
      </c>
      <c r="D264" s="120">
        <v>6</v>
      </c>
      <c r="E264" s="120">
        <v>91.5</v>
      </c>
      <c r="F264" s="128">
        <f>160*0.94</f>
        <v>150.39999999999998</v>
      </c>
      <c r="G264" s="129">
        <v>518.8601728723404</v>
      </c>
      <c r="H264" s="145"/>
    </row>
    <row r="265" spans="1:8" ht="20.100000000000001" customHeight="1" x14ac:dyDescent="0.25">
      <c r="A265" s="125" t="s">
        <v>726</v>
      </c>
      <c r="B265" s="97" t="s">
        <v>336</v>
      </c>
      <c r="C265" s="120">
        <v>2022</v>
      </c>
      <c r="D265" s="120">
        <v>0.4</v>
      </c>
      <c r="E265" s="120">
        <v>33</v>
      </c>
      <c r="F265" s="128">
        <v>100</v>
      </c>
      <c r="G265" s="129">
        <v>187.76763</v>
      </c>
      <c r="H265" s="145"/>
    </row>
    <row r="266" spans="1:8" ht="20.100000000000001" customHeight="1" x14ac:dyDescent="0.25">
      <c r="A266" s="125" t="s">
        <v>731</v>
      </c>
      <c r="B266" s="97" t="s">
        <v>336</v>
      </c>
      <c r="C266" s="120">
        <v>2022</v>
      </c>
      <c r="D266" s="120">
        <v>6</v>
      </c>
      <c r="E266" s="120">
        <v>215.5</v>
      </c>
      <c r="F266" s="128">
        <f>160*0.94</f>
        <v>150.39999999999998</v>
      </c>
      <c r="G266" s="129">
        <v>629.3043284574469</v>
      </c>
      <c r="H266" s="145"/>
    </row>
    <row r="267" spans="1:8" ht="20.100000000000001" customHeight="1" x14ac:dyDescent="0.25">
      <c r="A267" s="125" t="s">
        <v>726</v>
      </c>
      <c r="B267" s="97" t="s">
        <v>335</v>
      </c>
      <c r="C267" s="120">
        <v>2022</v>
      </c>
      <c r="D267" s="120">
        <v>0.4</v>
      </c>
      <c r="E267" s="120">
        <v>224</v>
      </c>
      <c r="F267" s="128">
        <v>150</v>
      </c>
      <c r="G267" s="129">
        <v>2688.7522400000003</v>
      </c>
      <c r="H267" s="145"/>
    </row>
    <row r="268" spans="1:8" ht="20.100000000000001" customHeight="1" x14ac:dyDescent="0.25">
      <c r="A268" s="150" t="s">
        <v>730</v>
      </c>
      <c r="B268" s="97" t="s">
        <v>335</v>
      </c>
      <c r="C268" s="120">
        <v>2022</v>
      </c>
      <c r="D268" s="327">
        <v>6</v>
      </c>
      <c r="E268" s="327">
        <v>671</v>
      </c>
      <c r="F268" s="332">
        <f>400*0.94</f>
        <v>376</v>
      </c>
      <c r="G268" s="130">
        <v>2386.8713098404255</v>
      </c>
      <c r="H268" s="145"/>
    </row>
    <row r="269" spans="1:8" ht="20.100000000000001" customHeight="1" x14ac:dyDescent="0.25">
      <c r="A269" s="150" t="s">
        <v>730</v>
      </c>
      <c r="B269" s="97" t="s">
        <v>332</v>
      </c>
      <c r="C269" s="120">
        <v>2022</v>
      </c>
      <c r="D269" s="328"/>
      <c r="E269" s="328"/>
      <c r="F269" s="333"/>
      <c r="G269" s="130">
        <v>2386.8713098404255</v>
      </c>
      <c r="H269" s="145"/>
    </row>
    <row r="270" spans="1:8" ht="48.95" customHeight="1" x14ac:dyDescent="0.25">
      <c r="A270" s="35" t="s">
        <v>481</v>
      </c>
      <c r="B270" s="34" t="s">
        <v>480</v>
      </c>
      <c r="C270" s="12"/>
      <c r="D270" s="12"/>
      <c r="E270" s="12"/>
      <c r="F270" s="12">
        <f>SUM(F274:F345)</f>
        <v>1972</v>
      </c>
      <c r="G270" s="11">
        <f>SUM(G274:G345)</f>
        <v>2783.9206000000008</v>
      </c>
    </row>
    <row r="271" spans="1:8" s="30" customFormat="1" ht="123" customHeight="1" x14ac:dyDescent="0.25">
      <c r="A271" s="25" t="s">
        <v>479</v>
      </c>
      <c r="B271" s="29" t="s">
        <v>478</v>
      </c>
      <c r="C271" s="13"/>
      <c r="D271" s="12"/>
      <c r="E271" s="13"/>
      <c r="F271" s="12"/>
      <c r="G271" s="11"/>
      <c r="H271" s="2"/>
    </row>
    <row r="272" spans="1:8" s="30" customFormat="1" ht="63" customHeight="1" x14ac:dyDescent="0.25">
      <c r="A272" s="25" t="s">
        <v>477</v>
      </c>
      <c r="B272" s="29" t="s">
        <v>476</v>
      </c>
      <c r="C272" s="13"/>
      <c r="D272" s="12"/>
      <c r="E272" s="13"/>
      <c r="F272" s="12"/>
      <c r="G272" s="11"/>
      <c r="H272" s="2"/>
    </row>
    <row r="273" spans="1:10" ht="71.45" customHeight="1" x14ac:dyDescent="0.25">
      <c r="A273" s="25" t="s">
        <v>475</v>
      </c>
      <c r="B273" s="29" t="s">
        <v>474</v>
      </c>
      <c r="C273" s="13"/>
      <c r="D273" s="12"/>
      <c r="E273" s="13"/>
      <c r="F273" s="12"/>
      <c r="G273" s="11"/>
    </row>
    <row r="274" spans="1:10" ht="18.600000000000001" customHeight="1" x14ac:dyDescent="0.25">
      <c r="A274" s="36" t="s">
        <v>414</v>
      </c>
      <c r="B274" s="37" t="s">
        <v>473</v>
      </c>
      <c r="C274" s="12">
        <v>2020</v>
      </c>
      <c r="D274" s="12">
        <v>0.4</v>
      </c>
      <c r="E274" s="12"/>
      <c r="F274" s="12">
        <v>15</v>
      </c>
      <c r="G274" s="11">
        <v>53.58</v>
      </c>
      <c r="J274" s="1" t="s">
        <v>472</v>
      </c>
    </row>
    <row r="275" spans="1:10" x14ac:dyDescent="0.25">
      <c r="A275" s="36" t="s">
        <v>419</v>
      </c>
      <c r="B275" s="37" t="s">
        <v>471</v>
      </c>
      <c r="C275" s="12">
        <v>2020</v>
      </c>
      <c r="D275" s="12">
        <v>0.4</v>
      </c>
      <c r="E275" s="12"/>
      <c r="F275" s="12">
        <v>15</v>
      </c>
      <c r="G275" s="11">
        <v>76.28</v>
      </c>
    </row>
    <row r="276" spans="1:10" x14ac:dyDescent="0.25">
      <c r="A276" s="36" t="s">
        <v>419</v>
      </c>
      <c r="B276" s="37" t="s">
        <v>470</v>
      </c>
      <c r="C276" s="12">
        <v>2020</v>
      </c>
      <c r="D276" s="12">
        <v>0.4</v>
      </c>
      <c r="E276" s="12"/>
      <c r="F276" s="12">
        <v>5</v>
      </c>
      <c r="G276" s="11">
        <v>30.05</v>
      </c>
    </row>
    <row r="277" spans="1:10" x14ac:dyDescent="0.25">
      <c r="A277" s="36" t="s">
        <v>419</v>
      </c>
      <c r="B277" s="37" t="s">
        <v>469</v>
      </c>
      <c r="C277" s="12">
        <v>2020</v>
      </c>
      <c r="D277" s="12">
        <v>0.4</v>
      </c>
      <c r="E277" s="12"/>
      <c r="F277" s="12">
        <v>5</v>
      </c>
      <c r="G277" s="11">
        <v>28.16</v>
      </c>
    </row>
    <row r="278" spans="1:10" x14ac:dyDescent="0.25">
      <c r="A278" s="36" t="s">
        <v>419</v>
      </c>
      <c r="B278" s="37" t="s">
        <v>468</v>
      </c>
      <c r="C278" s="12">
        <v>2020</v>
      </c>
      <c r="D278" s="12">
        <v>0.4</v>
      </c>
      <c r="E278" s="12"/>
      <c r="F278" s="12">
        <v>5</v>
      </c>
      <c r="G278" s="11">
        <v>30.05</v>
      </c>
    </row>
    <row r="279" spans="1:10" x14ac:dyDescent="0.25">
      <c r="A279" s="36" t="s">
        <v>419</v>
      </c>
      <c r="B279" s="37" t="s">
        <v>467</v>
      </c>
      <c r="C279" s="12">
        <v>2020</v>
      </c>
      <c r="D279" s="12">
        <v>0.4</v>
      </c>
      <c r="E279" s="12"/>
      <c r="F279" s="12">
        <v>5</v>
      </c>
      <c r="G279" s="11">
        <v>30.05</v>
      </c>
    </row>
    <row r="280" spans="1:10" x14ac:dyDescent="0.25">
      <c r="A280" s="36" t="s">
        <v>419</v>
      </c>
      <c r="B280" s="37" t="s">
        <v>466</v>
      </c>
      <c r="C280" s="12">
        <v>2020</v>
      </c>
      <c r="D280" s="12">
        <v>0.4</v>
      </c>
      <c r="E280" s="12"/>
      <c r="F280" s="12">
        <v>5</v>
      </c>
      <c r="G280" s="11">
        <v>30.05</v>
      </c>
    </row>
    <row r="281" spans="1:10" x14ac:dyDescent="0.25">
      <c r="A281" s="36" t="s">
        <v>419</v>
      </c>
      <c r="B281" s="37" t="s">
        <v>465</v>
      </c>
      <c r="C281" s="12">
        <v>2020</v>
      </c>
      <c r="D281" s="12">
        <v>0.4</v>
      </c>
      <c r="E281" s="12"/>
      <c r="F281" s="12">
        <v>5</v>
      </c>
      <c r="G281" s="11">
        <v>34.21</v>
      </c>
    </row>
    <row r="282" spans="1:10" x14ac:dyDescent="0.25">
      <c r="A282" s="36" t="s">
        <v>419</v>
      </c>
      <c r="B282" s="37" t="s">
        <v>464</v>
      </c>
      <c r="C282" s="12">
        <v>2020</v>
      </c>
      <c r="D282" s="12">
        <v>0.4</v>
      </c>
      <c r="E282" s="12"/>
      <c r="F282" s="12">
        <v>5</v>
      </c>
      <c r="G282" s="11">
        <v>31.21</v>
      </c>
    </row>
    <row r="283" spans="1:10" x14ac:dyDescent="0.25">
      <c r="A283" s="36" t="s">
        <v>419</v>
      </c>
      <c r="B283" s="37" t="s">
        <v>463</v>
      </c>
      <c r="C283" s="12">
        <v>2020</v>
      </c>
      <c r="D283" s="12">
        <v>0.4</v>
      </c>
      <c r="E283" s="12"/>
      <c r="F283" s="12">
        <v>5</v>
      </c>
      <c r="G283" s="11">
        <v>31.21</v>
      </c>
    </row>
    <row r="284" spans="1:10" x14ac:dyDescent="0.25">
      <c r="A284" s="36" t="s">
        <v>419</v>
      </c>
      <c r="B284" s="37" t="s">
        <v>462</v>
      </c>
      <c r="C284" s="12">
        <v>2020</v>
      </c>
      <c r="D284" s="12">
        <v>0.4</v>
      </c>
      <c r="E284" s="12"/>
      <c r="F284" s="12">
        <v>5</v>
      </c>
      <c r="G284" s="11">
        <v>31.21</v>
      </c>
    </row>
    <row r="285" spans="1:10" x14ac:dyDescent="0.25">
      <c r="A285" s="36" t="s">
        <v>419</v>
      </c>
      <c r="B285" s="37" t="s">
        <v>461</v>
      </c>
      <c r="C285" s="12">
        <v>2020</v>
      </c>
      <c r="D285" s="12">
        <v>0.4</v>
      </c>
      <c r="E285" s="12"/>
      <c r="F285" s="12">
        <v>5</v>
      </c>
      <c r="G285" s="11">
        <v>29.94</v>
      </c>
    </row>
    <row r="286" spans="1:10" x14ac:dyDescent="0.25">
      <c r="A286" s="36" t="s">
        <v>419</v>
      </c>
      <c r="B286" s="37" t="s">
        <v>460</v>
      </c>
      <c r="C286" s="12">
        <v>2020</v>
      </c>
      <c r="D286" s="12">
        <v>0.4</v>
      </c>
      <c r="E286" s="12"/>
      <c r="F286" s="12">
        <v>5</v>
      </c>
      <c r="G286" s="11">
        <v>29.94</v>
      </c>
    </row>
    <row r="287" spans="1:10" x14ac:dyDescent="0.25">
      <c r="A287" s="36" t="s">
        <v>419</v>
      </c>
      <c r="B287" s="37" t="s">
        <v>459</v>
      </c>
      <c r="C287" s="12">
        <v>2020</v>
      </c>
      <c r="D287" s="12">
        <v>0.4</v>
      </c>
      <c r="E287" s="12"/>
      <c r="F287" s="12">
        <v>5</v>
      </c>
      <c r="G287" s="11">
        <v>29.94</v>
      </c>
    </row>
    <row r="288" spans="1:10" x14ac:dyDescent="0.25">
      <c r="A288" s="36" t="s">
        <v>419</v>
      </c>
      <c r="B288" s="37" t="s">
        <v>458</v>
      </c>
      <c r="C288" s="12">
        <v>2020</v>
      </c>
      <c r="D288" s="12">
        <v>0.4</v>
      </c>
      <c r="E288" s="12"/>
      <c r="F288" s="12">
        <v>5</v>
      </c>
      <c r="G288" s="11">
        <v>31.21</v>
      </c>
    </row>
    <row r="289" spans="1:10" ht="18" customHeight="1" x14ac:dyDescent="0.25">
      <c r="A289" s="36" t="s">
        <v>419</v>
      </c>
      <c r="B289" s="37" t="s">
        <v>457</v>
      </c>
      <c r="C289" s="12">
        <v>2020</v>
      </c>
      <c r="D289" s="12">
        <v>0.4</v>
      </c>
      <c r="E289" s="12"/>
      <c r="F289" s="12">
        <v>5</v>
      </c>
      <c r="G289" s="11">
        <v>31.21</v>
      </c>
    </row>
    <row r="290" spans="1:10" ht="18.95" customHeight="1" x14ac:dyDescent="0.25">
      <c r="A290" s="36" t="s">
        <v>419</v>
      </c>
      <c r="B290" s="37" t="s">
        <v>456</v>
      </c>
      <c r="C290" s="12">
        <v>2020</v>
      </c>
      <c r="D290" s="12">
        <v>0.4</v>
      </c>
      <c r="E290" s="12"/>
      <c r="F290" s="12">
        <v>5</v>
      </c>
      <c r="G290" s="11">
        <v>31.21</v>
      </c>
    </row>
    <row r="291" spans="1:10" ht="23.45" customHeight="1" x14ac:dyDescent="0.25">
      <c r="A291" s="36" t="s">
        <v>419</v>
      </c>
      <c r="B291" s="37" t="s">
        <v>455</v>
      </c>
      <c r="C291" s="12">
        <v>2020</v>
      </c>
      <c r="D291" s="12">
        <v>0.4</v>
      </c>
      <c r="E291" s="12"/>
      <c r="F291" s="12">
        <v>5</v>
      </c>
      <c r="G291" s="11">
        <v>31.21</v>
      </c>
    </row>
    <row r="292" spans="1:10" ht="18.95" customHeight="1" x14ac:dyDescent="0.25">
      <c r="A292" s="36" t="s">
        <v>419</v>
      </c>
      <c r="B292" s="37" t="s">
        <v>454</v>
      </c>
      <c r="C292" s="12">
        <v>2020</v>
      </c>
      <c r="D292" s="12">
        <v>0.4</v>
      </c>
      <c r="E292" s="12"/>
      <c r="F292" s="12">
        <v>5</v>
      </c>
      <c r="G292" s="11">
        <v>31.21</v>
      </c>
    </row>
    <row r="293" spans="1:10" ht="24.6" customHeight="1" x14ac:dyDescent="0.25">
      <c r="A293" s="36" t="s">
        <v>419</v>
      </c>
      <c r="B293" s="37" t="s">
        <v>453</v>
      </c>
      <c r="C293" s="12">
        <v>2020</v>
      </c>
      <c r="D293" s="12">
        <v>0.4</v>
      </c>
      <c r="E293" s="12"/>
      <c r="F293" s="12">
        <v>5</v>
      </c>
      <c r="G293" s="11">
        <v>31.21</v>
      </c>
    </row>
    <row r="294" spans="1:10" x14ac:dyDescent="0.25">
      <c r="A294" s="36" t="s">
        <v>419</v>
      </c>
      <c r="B294" s="37" t="s">
        <v>452</v>
      </c>
      <c r="C294" s="12">
        <v>2020</v>
      </c>
      <c r="D294" s="12">
        <v>0.4</v>
      </c>
      <c r="E294" s="12"/>
      <c r="F294" s="87">
        <v>5</v>
      </c>
      <c r="G294" s="50">
        <v>34.65</v>
      </c>
      <c r="H294" s="134"/>
    </row>
    <row r="295" spans="1:10" x14ac:dyDescent="0.25">
      <c r="A295" s="36" t="s">
        <v>419</v>
      </c>
      <c r="B295" s="37" t="s">
        <v>451</v>
      </c>
      <c r="C295" s="12">
        <v>2020</v>
      </c>
      <c r="D295" s="12">
        <v>0.4</v>
      </c>
      <c r="E295" s="12"/>
      <c r="F295" s="87">
        <v>5</v>
      </c>
      <c r="G295" s="50">
        <v>34.65</v>
      </c>
      <c r="H295" s="134"/>
    </row>
    <row r="296" spans="1:10" ht="19.5" customHeight="1" x14ac:dyDescent="0.25">
      <c r="A296" s="36" t="s">
        <v>419</v>
      </c>
      <c r="B296" s="37" t="s">
        <v>450</v>
      </c>
      <c r="C296" s="12">
        <v>2020</v>
      </c>
      <c r="D296" s="12">
        <v>0.4</v>
      </c>
      <c r="E296" s="12"/>
      <c r="F296" s="87">
        <v>5</v>
      </c>
      <c r="G296" s="50">
        <v>35.32</v>
      </c>
      <c r="H296" s="134"/>
      <c r="I296" s="1" t="s">
        <v>449</v>
      </c>
      <c r="J296" s="1" t="s">
        <v>448</v>
      </c>
    </row>
    <row r="297" spans="1:10" ht="16.5" customHeight="1" x14ac:dyDescent="0.25">
      <c r="A297" s="36" t="s">
        <v>403</v>
      </c>
      <c r="B297" s="37" t="s">
        <v>447</v>
      </c>
      <c r="C297" s="12">
        <v>2020</v>
      </c>
      <c r="D297" s="12">
        <v>0.4</v>
      </c>
      <c r="E297" s="12"/>
      <c r="F297" s="87">
        <v>15</v>
      </c>
      <c r="G297" s="50">
        <v>28.71</v>
      </c>
      <c r="H297" s="134"/>
      <c r="I297" s="1" t="s">
        <v>446</v>
      </c>
    </row>
    <row r="298" spans="1:10" x14ac:dyDescent="0.25">
      <c r="A298" s="36" t="s">
        <v>419</v>
      </c>
      <c r="B298" s="37" t="s">
        <v>445</v>
      </c>
      <c r="C298" s="12">
        <v>2020</v>
      </c>
      <c r="D298" s="12">
        <v>0.4</v>
      </c>
      <c r="E298" s="12"/>
      <c r="F298" s="87">
        <v>5</v>
      </c>
      <c r="G298" s="50">
        <v>19.14</v>
      </c>
      <c r="H298" s="134"/>
    </row>
    <row r="299" spans="1:10" x14ac:dyDescent="0.25">
      <c r="A299" s="36" t="s">
        <v>419</v>
      </c>
      <c r="B299" s="37" t="s">
        <v>444</v>
      </c>
      <c r="C299" s="12">
        <v>2020</v>
      </c>
      <c r="D299" s="12">
        <v>0.4</v>
      </c>
      <c r="E299" s="12"/>
      <c r="F299" s="87">
        <v>95</v>
      </c>
      <c r="G299" s="50">
        <v>49.55</v>
      </c>
      <c r="H299" s="134"/>
    </row>
    <row r="300" spans="1:10" x14ac:dyDescent="0.25">
      <c r="A300" s="36" t="s">
        <v>414</v>
      </c>
      <c r="B300" s="37" t="s">
        <v>443</v>
      </c>
      <c r="C300" s="12">
        <v>2020</v>
      </c>
      <c r="D300" s="12">
        <v>0.4</v>
      </c>
      <c r="E300" s="12"/>
      <c r="F300" s="87">
        <v>40</v>
      </c>
      <c r="G300" s="50">
        <v>8.0299999999999994</v>
      </c>
      <c r="H300" s="134"/>
      <c r="I300" s="1">
        <v>250</v>
      </c>
    </row>
    <row r="301" spans="1:10" x14ac:dyDescent="0.25">
      <c r="A301" s="36" t="s">
        <v>414</v>
      </c>
      <c r="B301" s="37" t="s">
        <v>442</v>
      </c>
      <c r="C301" s="12">
        <v>2020</v>
      </c>
      <c r="D301" s="12">
        <v>0.4</v>
      </c>
      <c r="E301" s="12"/>
      <c r="F301" s="87">
        <v>20</v>
      </c>
      <c r="G301" s="50">
        <v>56.65</v>
      </c>
      <c r="H301" s="134"/>
      <c r="I301" s="1">
        <v>325</v>
      </c>
    </row>
    <row r="302" spans="1:10" x14ac:dyDescent="0.25">
      <c r="A302" s="36" t="s">
        <v>403</v>
      </c>
      <c r="B302" s="37" t="s">
        <v>441</v>
      </c>
      <c r="C302" s="12">
        <v>2020</v>
      </c>
      <c r="D302" s="12">
        <v>0.4</v>
      </c>
      <c r="E302" s="12"/>
      <c r="F302" s="12">
        <v>80</v>
      </c>
      <c r="G302" s="11">
        <v>97.09</v>
      </c>
      <c r="I302" s="1">
        <v>33</v>
      </c>
    </row>
    <row r="303" spans="1:10" x14ac:dyDescent="0.25">
      <c r="A303" s="36" t="s">
        <v>419</v>
      </c>
      <c r="B303" s="37" t="s">
        <v>440</v>
      </c>
      <c r="C303" s="12">
        <v>2020</v>
      </c>
      <c r="D303" s="12">
        <v>0.4</v>
      </c>
      <c r="E303" s="12"/>
      <c r="F303" s="12">
        <v>10</v>
      </c>
      <c r="G303" s="11">
        <v>21.58</v>
      </c>
    </row>
    <row r="304" spans="1:10" ht="18" customHeight="1" x14ac:dyDescent="0.25">
      <c r="A304" s="36" t="s">
        <v>419</v>
      </c>
      <c r="B304" s="37" t="s">
        <v>439</v>
      </c>
      <c r="C304" s="12">
        <v>2020</v>
      </c>
      <c r="D304" s="12">
        <v>0.4</v>
      </c>
      <c r="E304" s="12"/>
      <c r="F304" s="12">
        <v>10</v>
      </c>
      <c r="G304" s="11">
        <v>125.77</v>
      </c>
    </row>
    <row r="305" spans="1:9" ht="19.5" customHeight="1" x14ac:dyDescent="0.25">
      <c r="A305" s="36" t="s">
        <v>414</v>
      </c>
      <c r="B305" s="37" t="s">
        <v>438</v>
      </c>
      <c r="C305" s="12">
        <v>2021</v>
      </c>
      <c r="D305" s="12">
        <v>0.4</v>
      </c>
      <c r="E305" s="12"/>
      <c r="F305" s="12">
        <v>15</v>
      </c>
      <c r="G305" s="11">
        <v>5.4098199999999999</v>
      </c>
      <c r="I305" s="1" t="s">
        <v>437</v>
      </c>
    </row>
    <row r="306" spans="1:9" ht="21.95" customHeight="1" x14ac:dyDescent="0.25">
      <c r="A306" s="36" t="s">
        <v>414</v>
      </c>
      <c r="B306" s="37" t="s">
        <v>233</v>
      </c>
      <c r="C306" s="12">
        <v>2021</v>
      </c>
      <c r="D306" s="12">
        <v>0.4</v>
      </c>
      <c r="E306" s="12"/>
      <c r="F306" s="12">
        <v>15</v>
      </c>
      <c r="G306" s="11">
        <v>13.839700000000001</v>
      </c>
      <c r="I306" s="31" t="s">
        <v>436</v>
      </c>
    </row>
    <row r="307" spans="1:9" ht="18.600000000000001" customHeight="1" x14ac:dyDescent="0.25">
      <c r="A307" s="36" t="s">
        <v>414</v>
      </c>
      <c r="B307" s="37" t="s">
        <v>234</v>
      </c>
      <c r="C307" s="12">
        <v>2021</v>
      </c>
      <c r="D307" s="12">
        <v>0.4</v>
      </c>
      <c r="E307" s="12"/>
      <c r="F307" s="12">
        <v>5</v>
      </c>
      <c r="G307" s="11">
        <v>13.5847</v>
      </c>
      <c r="I307" s="31" t="s">
        <v>435</v>
      </c>
    </row>
    <row r="308" spans="1:9" ht="20.100000000000001" customHeight="1" x14ac:dyDescent="0.25">
      <c r="A308" s="36" t="s">
        <v>414</v>
      </c>
      <c r="B308" s="37" t="s">
        <v>207</v>
      </c>
      <c r="C308" s="12">
        <v>2021</v>
      </c>
      <c r="D308" s="12">
        <v>0.4</v>
      </c>
      <c r="E308" s="12"/>
      <c r="F308" s="12">
        <v>5</v>
      </c>
      <c r="G308" s="11">
        <v>21.691199999999998</v>
      </c>
      <c r="I308" s="31" t="s">
        <v>434</v>
      </c>
    </row>
    <row r="309" spans="1:9" ht="19.5" customHeight="1" x14ac:dyDescent="0.25">
      <c r="A309" s="36" t="s">
        <v>414</v>
      </c>
      <c r="B309" s="37" t="s">
        <v>433</v>
      </c>
      <c r="C309" s="12">
        <v>2021</v>
      </c>
      <c r="D309" s="12">
        <v>0.4</v>
      </c>
      <c r="E309" s="12"/>
      <c r="F309" s="12">
        <v>5</v>
      </c>
      <c r="G309" s="11">
        <v>17.877400000000002</v>
      </c>
      <c r="I309" s="31" t="s">
        <v>432</v>
      </c>
    </row>
    <row r="310" spans="1:9" ht="15" customHeight="1" x14ac:dyDescent="0.25">
      <c r="A310" s="36" t="s">
        <v>414</v>
      </c>
      <c r="B310" s="37" t="s">
        <v>431</v>
      </c>
      <c r="C310" s="12">
        <v>2021</v>
      </c>
      <c r="D310" s="12">
        <v>0.4</v>
      </c>
      <c r="E310" s="12"/>
      <c r="F310" s="12">
        <v>5</v>
      </c>
      <c r="G310" s="11">
        <v>7.9394999999999998</v>
      </c>
      <c r="I310" s="31" t="s">
        <v>430</v>
      </c>
    </row>
    <row r="311" spans="1:9" x14ac:dyDescent="0.25">
      <c r="A311" s="36" t="s">
        <v>414</v>
      </c>
      <c r="B311" s="37" t="s">
        <v>429</v>
      </c>
      <c r="C311" s="12">
        <v>2021</v>
      </c>
      <c r="D311" s="12">
        <v>0.4</v>
      </c>
      <c r="E311" s="12"/>
      <c r="F311" s="12">
        <v>15</v>
      </c>
      <c r="G311" s="11">
        <v>3.4371800000000001</v>
      </c>
      <c r="I311" s="31" t="s">
        <v>428</v>
      </c>
    </row>
    <row r="312" spans="1:9" ht="20.100000000000001" customHeight="1" x14ac:dyDescent="0.25">
      <c r="A312" s="36" t="s">
        <v>419</v>
      </c>
      <c r="B312" s="88" t="s">
        <v>427</v>
      </c>
      <c r="C312" s="12">
        <v>2021</v>
      </c>
      <c r="D312" s="12">
        <v>0.4</v>
      </c>
      <c r="E312" s="12"/>
      <c r="F312" s="12">
        <v>100</v>
      </c>
      <c r="G312" s="11">
        <v>94.165499999999994</v>
      </c>
      <c r="I312" s="31" t="s">
        <v>426</v>
      </c>
    </row>
    <row r="313" spans="1:9" x14ac:dyDescent="0.25">
      <c r="A313" s="36" t="s">
        <v>419</v>
      </c>
      <c r="B313" s="88" t="s">
        <v>425</v>
      </c>
      <c r="C313" s="12">
        <v>2021</v>
      </c>
      <c r="D313" s="12">
        <v>0.4</v>
      </c>
      <c r="E313" s="12"/>
      <c r="F313" s="12">
        <v>130</v>
      </c>
      <c r="G313" s="11">
        <v>4.5707100000000001</v>
      </c>
      <c r="I313" s="31" t="s">
        <v>424</v>
      </c>
    </row>
    <row r="314" spans="1:9" x14ac:dyDescent="0.25">
      <c r="A314" s="36" t="s">
        <v>414</v>
      </c>
      <c r="B314" s="88" t="s">
        <v>423</v>
      </c>
      <c r="C314" s="12">
        <v>2021</v>
      </c>
      <c r="D314" s="12">
        <v>0.4</v>
      </c>
      <c r="E314" s="12"/>
      <c r="F314" s="12">
        <v>50</v>
      </c>
      <c r="G314" s="11">
        <v>9.0050100000000004</v>
      </c>
      <c r="I314" s="31" t="s">
        <v>422</v>
      </c>
    </row>
    <row r="315" spans="1:9" x14ac:dyDescent="0.25">
      <c r="A315" s="36" t="s">
        <v>411</v>
      </c>
      <c r="B315" s="88" t="s">
        <v>421</v>
      </c>
      <c r="C315" s="12">
        <v>2021</v>
      </c>
      <c r="D315" s="12">
        <v>0.4</v>
      </c>
      <c r="E315" s="12"/>
      <c r="F315" s="12">
        <v>70</v>
      </c>
      <c r="G315" s="11">
        <v>128.78399999999999</v>
      </c>
      <c r="I315" s="31" t="s">
        <v>420</v>
      </c>
    </row>
    <row r="316" spans="1:9" x14ac:dyDescent="0.25">
      <c r="A316" s="36" t="s">
        <v>419</v>
      </c>
      <c r="B316" s="88" t="s">
        <v>418</v>
      </c>
      <c r="C316" s="12">
        <v>2021</v>
      </c>
      <c r="D316" s="12">
        <v>0.4</v>
      </c>
      <c r="E316" s="12"/>
      <c r="F316" s="12">
        <v>50</v>
      </c>
      <c r="G316" s="11">
        <v>197.02500000000001</v>
      </c>
      <c r="I316" s="31" t="s">
        <v>417</v>
      </c>
    </row>
    <row r="317" spans="1:9" x14ac:dyDescent="0.25">
      <c r="A317" s="36" t="s">
        <v>403</v>
      </c>
      <c r="B317" s="88" t="s">
        <v>416</v>
      </c>
      <c r="C317" s="12">
        <v>2021</v>
      </c>
      <c r="D317" s="12">
        <v>0.4</v>
      </c>
      <c r="E317" s="12"/>
      <c r="F317" s="12">
        <v>40</v>
      </c>
      <c r="G317" s="11">
        <v>194.535</v>
      </c>
      <c r="I317" s="31" t="s">
        <v>415</v>
      </c>
    </row>
    <row r="318" spans="1:9" x14ac:dyDescent="0.25">
      <c r="A318" s="36" t="s">
        <v>414</v>
      </c>
      <c r="B318" s="88" t="s">
        <v>413</v>
      </c>
      <c r="C318" s="12">
        <v>2021</v>
      </c>
      <c r="D318" s="12">
        <v>0.4</v>
      </c>
      <c r="E318" s="12"/>
      <c r="F318" s="12">
        <v>15</v>
      </c>
      <c r="G318" s="11">
        <v>8.8510600000000004</v>
      </c>
      <c r="I318" s="31" t="s">
        <v>412</v>
      </c>
    </row>
    <row r="319" spans="1:9" ht="21.95" customHeight="1" x14ac:dyDescent="0.25">
      <c r="A319" s="36" t="s">
        <v>411</v>
      </c>
      <c r="B319" s="88" t="s">
        <v>410</v>
      </c>
      <c r="C319" s="12">
        <v>2021</v>
      </c>
      <c r="D319" s="12">
        <v>0.4</v>
      </c>
      <c r="E319" s="12"/>
      <c r="F319" s="12">
        <v>50</v>
      </c>
      <c r="G319" s="11">
        <v>78.105099999999993</v>
      </c>
      <c r="I319" s="31" t="s">
        <v>409</v>
      </c>
    </row>
    <row r="320" spans="1:9" ht="23.45" customHeight="1" x14ac:dyDescent="0.25">
      <c r="A320" s="36" t="s">
        <v>403</v>
      </c>
      <c r="B320" s="88" t="s">
        <v>408</v>
      </c>
      <c r="C320" s="12">
        <v>2021</v>
      </c>
      <c r="D320" s="12">
        <v>0.4</v>
      </c>
      <c r="E320" s="12"/>
      <c r="F320" s="12">
        <v>140</v>
      </c>
      <c r="G320" s="11">
        <v>117.131</v>
      </c>
      <c r="I320" s="31" t="s">
        <v>407</v>
      </c>
    </row>
    <row r="321" spans="1:9" ht="23.1" customHeight="1" x14ac:dyDescent="0.25">
      <c r="A321" s="36" t="s">
        <v>406</v>
      </c>
      <c r="B321" s="88" t="s">
        <v>405</v>
      </c>
      <c r="C321" s="12">
        <v>2021</v>
      </c>
      <c r="D321" s="12">
        <v>0.4</v>
      </c>
      <c r="E321" s="12"/>
      <c r="F321" s="12">
        <v>70</v>
      </c>
      <c r="G321" s="11">
        <v>106.224</v>
      </c>
      <c r="I321" s="31" t="s">
        <v>404</v>
      </c>
    </row>
    <row r="322" spans="1:9" ht="21" customHeight="1" x14ac:dyDescent="0.25">
      <c r="A322" s="36" t="s">
        <v>403</v>
      </c>
      <c r="B322" s="37" t="s">
        <v>402</v>
      </c>
      <c r="C322" s="12">
        <v>2021</v>
      </c>
      <c r="D322" s="12">
        <v>0.4</v>
      </c>
      <c r="E322" s="12"/>
      <c r="F322" s="12">
        <v>200</v>
      </c>
      <c r="G322" s="11">
        <v>130.84299999999999</v>
      </c>
      <c r="I322" s="31" t="s">
        <v>401</v>
      </c>
    </row>
    <row r="323" spans="1:9" ht="21" customHeight="1" x14ac:dyDescent="0.25">
      <c r="A323" s="93" t="s">
        <v>386</v>
      </c>
      <c r="B323" s="94" t="s">
        <v>122</v>
      </c>
      <c r="C323" s="95">
        <v>2022</v>
      </c>
      <c r="D323" s="96">
        <v>0.4</v>
      </c>
      <c r="E323" s="96"/>
      <c r="F323" s="97">
        <v>15</v>
      </c>
      <c r="G323" s="98">
        <v>7.7487899999999996</v>
      </c>
      <c r="H323" s="146"/>
      <c r="I323" s="31"/>
    </row>
    <row r="324" spans="1:9" ht="21" customHeight="1" x14ac:dyDescent="0.25">
      <c r="A324" s="93" t="s">
        <v>386</v>
      </c>
      <c r="B324" s="94" t="s">
        <v>399</v>
      </c>
      <c r="C324" s="95">
        <v>2022</v>
      </c>
      <c r="D324" s="96">
        <v>0.4</v>
      </c>
      <c r="E324" s="96"/>
      <c r="F324" s="99">
        <v>10</v>
      </c>
      <c r="G324" s="100">
        <v>8.5959799999999991</v>
      </c>
      <c r="H324" s="146"/>
      <c r="I324" s="31"/>
    </row>
    <row r="325" spans="1:9" ht="21" customHeight="1" x14ac:dyDescent="0.25">
      <c r="A325" s="93" t="s">
        <v>386</v>
      </c>
      <c r="B325" s="94" t="s">
        <v>396</v>
      </c>
      <c r="C325" s="95">
        <v>2022</v>
      </c>
      <c r="D325" s="96">
        <v>0.4</v>
      </c>
      <c r="E325" s="96"/>
      <c r="F325" s="97">
        <v>5</v>
      </c>
      <c r="G325" s="98">
        <v>12.1694</v>
      </c>
      <c r="H325" s="146"/>
      <c r="I325" s="31"/>
    </row>
    <row r="326" spans="1:9" ht="21" customHeight="1" x14ac:dyDescent="0.25">
      <c r="A326" s="93" t="s">
        <v>386</v>
      </c>
      <c r="B326" s="94" t="s">
        <v>688</v>
      </c>
      <c r="C326" s="95">
        <v>2022</v>
      </c>
      <c r="D326" s="96">
        <v>0.4</v>
      </c>
      <c r="E326" s="320" t="s">
        <v>334</v>
      </c>
      <c r="F326" s="97">
        <v>15</v>
      </c>
      <c r="G326" s="98">
        <v>1.7390204999999999</v>
      </c>
      <c r="H326" s="146"/>
      <c r="I326" s="31"/>
    </row>
    <row r="327" spans="1:9" ht="21" customHeight="1" x14ac:dyDescent="0.25">
      <c r="A327" s="93" t="s">
        <v>386</v>
      </c>
      <c r="B327" s="94" t="s">
        <v>688</v>
      </c>
      <c r="C327" s="95">
        <v>2022</v>
      </c>
      <c r="D327" s="96">
        <v>0.4</v>
      </c>
      <c r="E327" s="322"/>
      <c r="F327" s="97">
        <v>15</v>
      </c>
      <c r="G327" s="98">
        <v>1.7390204999999999</v>
      </c>
      <c r="H327" s="146"/>
      <c r="I327" s="31"/>
    </row>
    <row r="328" spans="1:9" ht="21" customHeight="1" x14ac:dyDescent="0.25">
      <c r="A328" s="93" t="s">
        <v>386</v>
      </c>
      <c r="B328" s="94" t="s">
        <v>119</v>
      </c>
      <c r="C328" s="95">
        <v>2022</v>
      </c>
      <c r="D328" s="96">
        <v>0.4</v>
      </c>
      <c r="E328" s="96"/>
      <c r="F328" s="97">
        <v>5</v>
      </c>
      <c r="G328" s="98">
        <v>6.4971800000000002</v>
      </c>
      <c r="H328" s="146"/>
      <c r="I328" s="31"/>
    </row>
    <row r="329" spans="1:9" ht="21" customHeight="1" x14ac:dyDescent="0.25">
      <c r="A329" s="93" t="s">
        <v>386</v>
      </c>
      <c r="B329" s="94" t="s">
        <v>119</v>
      </c>
      <c r="C329" s="95">
        <v>2022</v>
      </c>
      <c r="D329" s="96">
        <v>0.4</v>
      </c>
      <c r="E329" s="96"/>
      <c r="F329" s="97">
        <v>5</v>
      </c>
      <c r="G329" s="98">
        <v>6.4971800000000002</v>
      </c>
      <c r="H329" s="146"/>
      <c r="I329" s="31"/>
    </row>
    <row r="330" spans="1:9" ht="21" customHeight="1" x14ac:dyDescent="0.25">
      <c r="A330" s="93" t="s">
        <v>386</v>
      </c>
      <c r="B330" s="94" t="s">
        <v>118</v>
      </c>
      <c r="C330" s="95">
        <v>2022</v>
      </c>
      <c r="D330" s="96">
        <v>0.4</v>
      </c>
      <c r="E330" s="96"/>
      <c r="F330" s="97">
        <v>5</v>
      </c>
      <c r="G330" s="98">
        <v>6.4971800000000002</v>
      </c>
      <c r="H330" s="146"/>
      <c r="I330" s="31"/>
    </row>
    <row r="331" spans="1:9" ht="21" customHeight="1" x14ac:dyDescent="0.25">
      <c r="A331" s="93" t="s">
        <v>386</v>
      </c>
      <c r="B331" s="94" t="s">
        <v>117</v>
      </c>
      <c r="C331" s="95">
        <v>2022</v>
      </c>
      <c r="D331" s="96">
        <v>0.4</v>
      </c>
      <c r="E331" s="96"/>
      <c r="F331" s="97">
        <v>5</v>
      </c>
      <c r="G331" s="98">
        <v>6.4971800000000002</v>
      </c>
      <c r="H331" s="146"/>
      <c r="I331" s="31"/>
    </row>
    <row r="332" spans="1:9" ht="21" customHeight="1" x14ac:dyDescent="0.25">
      <c r="A332" s="93" t="s">
        <v>386</v>
      </c>
      <c r="B332" s="94" t="s">
        <v>393</v>
      </c>
      <c r="C332" s="95">
        <v>2022</v>
      </c>
      <c r="D332" s="96">
        <v>0.4</v>
      </c>
      <c r="E332" s="96"/>
      <c r="F332" s="97">
        <v>2</v>
      </c>
      <c r="G332" s="98">
        <v>6.4971800000000002</v>
      </c>
      <c r="H332" s="146"/>
      <c r="I332" s="31"/>
    </row>
    <row r="333" spans="1:9" ht="21" customHeight="1" x14ac:dyDescent="0.25">
      <c r="A333" s="93" t="s">
        <v>386</v>
      </c>
      <c r="B333" s="94" t="s">
        <v>116</v>
      </c>
      <c r="C333" s="95">
        <v>2022</v>
      </c>
      <c r="D333" s="96">
        <v>0.4</v>
      </c>
      <c r="E333" s="96"/>
      <c r="F333" s="97">
        <v>15</v>
      </c>
      <c r="G333" s="98">
        <v>13.75783</v>
      </c>
      <c r="H333" s="146"/>
      <c r="I333" s="31"/>
    </row>
    <row r="334" spans="1:9" ht="21" customHeight="1" x14ac:dyDescent="0.25">
      <c r="A334" s="93" t="s">
        <v>386</v>
      </c>
      <c r="B334" s="94" t="s">
        <v>391</v>
      </c>
      <c r="C334" s="95">
        <v>2022</v>
      </c>
      <c r="D334" s="96">
        <v>0.4</v>
      </c>
      <c r="E334" s="96"/>
      <c r="F334" s="97">
        <v>5</v>
      </c>
      <c r="G334" s="101">
        <v>5.1141007407407404</v>
      </c>
      <c r="H334" s="146"/>
      <c r="I334" s="31"/>
    </row>
    <row r="335" spans="1:9" ht="21" customHeight="1" x14ac:dyDescent="0.25">
      <c r="A335" s="131" t="s">
        <v>386</v>
      </c>
      <c r="B335" s="124" t="s">
        <v>400</v>
      </c>
      <c r="C335" s="122">
        <v>2022</v>
      </c>
      <c r="D335" s="122">
        <v>0.4</v>
      </c>
      <c r="E335" s="122"/>
      <c r="F335" s="124">
        <v>20</v>
      </c>
      <c r="G335" s="132">
        <v>18.854959999999998</v>
      </c>
      <c r="H335" s="31" t="s">
        <v>711</v>
      </c>
    </row>
    <row r="336" spans="1:9" ht="21" customHeight="1" x14ac:dyDescent="0.25">
      <c r="A336" s="131" t="s">
        <v>386</v>
      </c>
      <c r="B336" s="86" t="s">
        <v>398</v>
      </c>
      <c r="C336" s="120">
        <v>2022</v>
      </c>
      <c r="D336" s="120">
        <v>0.4</v>
      </c>
      <c r="E336" s="120"/>
      <c r="F336" s="86">
        <v>30</v>
      </c>
      <c r="G336" s="121">
        <v>7.2181800000000003</v>
      </c>
      <c r="H336" s="146"/>
      <c r="I336" s="31"/>
    </row>
    <row r="337" spans="1:9" ht="21" customHeight="1" x14ac:dyDescent="0.25">
      <c r="A337" s="131" t="s">
        <v>386</v>
      </c>
      <c r="B337" s="86" t="s">
        <v>397</v>
      </c>
      <c r="C337" s="120">
        <v>2022</v>
      </c>
      <c r="D337" s="120">
        <v>0.4</v>
      </c>
      <c r="E337" s="120"/>
      <c r="F337" s="120">
        <v>25</v>
      </c>
      <c r="G337" s="121">
        <v>12.16817</v>
      </c>
      <c r="H337" s="146"/>
      <c r="I337" s="31"/>
    </row>
    <row r="338" spans="1:9" ht="21" customHeight="1" x14ac:dyDescent="0.25">
      <c r="A338" s="152" t="s">
        <v>732</v>
      </c>
      <c r="B338" s="86" t="s">
        <v>395</v>
      </c>
      <c r="C338" s="120">
        <v>2022</v>
      </c>
      <c r="D338" s="327">
        <v>0.4</v>
      </c>
      <c r="E338" s="327"/>
      <c r="F338" s="327">
        <f>50+20+15+15</f>
        <v>100</v>
      </c>
      <c r="G338" s="121">
        <v>5.796735</v>
      </c>
      <c r="H338" s="146"/>
      <c r="I338" s="31"/>
    </row>
    <row r="339" spans="1:9" ht="21" customHeight="1" x14ac:dyDescent="0.25">
      <c r="A339" s="152" t="s">
        <v>732</v>
      </c>
      <c r="B339" s="86" t="s">
        <v>394</v>
      </c>
      <c r="C339" s="120">
        <v>2022</v>
      </c>
      <c r="D339" s="328"/>
      <c r="E339" s="328"/>
      <c r="F339" s="328"/>
      <c r="G339" s="121">
        <v>2.3186939999999998</v>
      </c>
      <c r="H339" s="146"/>
      <c r="I339" s="31"/>
    </row>
    <row r="340" spans="1:9" ht="21" customHeight="1" x14ac:dyDescent="0.25">
      <c r="A340" s="131" t="s">
        <v>386</v>
      </c>
      <c r="B340" s="86" t="s">
        <v>392</v>
      </c>
      <c r="C340" s="120">
        <v>2022</v>
      </c>
      <c r="D340" s="120">
        <v>0.4</v>
      </c>
      <c r="E340" s="120"/>
      <c r="F340" s="86">
        <v>30</v>
      </c>
      <c r="G340" s="121">
        <v>13.39476</v>
      </c>
      <c r="H340" s="146"/>
      <c r="I340" s="31"/>
    </row>
    <row r="341" spans="1:9" ht="21" customHeight="1" x14ac:dyDescent="0.25">
      <c r="A341" s="152" t="s">
        <v>732</v>
      </c>
      <c r="B341" s="86" t="s">
        <v>390</v>
      </c>
      <c r="C341" s="120">
        <v>2022</v>
      </c>
      <c r="D341" s="327">
        <v>0.4</v>
      </c>
      <c r="E341" s="327"/>
      <c r="F341" s="329">
        <f>100+30+5</f>
        <v>135</v>
      </c>
      <c r="G341" s="121">
        <v>102.28201481481481</v>
      </c>
      <c r="H341" s="146"/>
      <c r="I341" s="31"/>
    </row>
    <row r="342" spans="1:9" ht="21" customHeight="1" x14ac:dyDescent="0.25">
      <c r="A342" s="152" t="s">
        <v>732</v>
      </c>
      <c r="B342" s="86" t="s">
        <v>389</v>
      </c>
      <c r="C342" s="120">
        <v>2022</v>
      </c>
      <c r="D342" s="328"/>
      <c r="E342" s="328"/>
      <c r="F342" s="330"/>
      <c r="G342" s="121">
        <v>30.684604444444446</v>
      </c>
      <c r="H342" s="146"/>
      <c r="I342" s="31"/>
    </row>
    <row r="343" spans="1:9" ht="21" customHeight="1" x14ac:dyDescent="0.25">
      <c r="A343" s="131" t="s">
        <v>386</v>
      </c>
      <c r="B343" s="86" t="s">
        <v>388</v>
      </c>
      <c r="C343" s="120">
        <v>2022</v>
      </c>
      <c r="D343" s="120">
        <v>0.4</v>
      </c>
      <c r="E343" s="120"/>
      <c r="F343" s="120">
        <v>30</v>
      </c>
      <c r="G343" s="121">
        <v>10.178430000000001</v>
      </c>
      <c r="H343" s="146"/>
      <c r="I343" s="31"/>
    </row>
    <row r="344" spans="1:9" ht="21" customHeight="1" x14ac:dyDescent="0.25">
      <c r="A344" s="131" t="s">
        <v>386</v>
      </c>
      <c r="B344" s="111" t="s">
        <v>387</v>
      </c>
      <c r="C344" s="120">
        <v>2022</v>
      </c>
      <c r="D344" s="120">
        <v>0.4</v>
      </c>
      <c r="E344" s="120"/>
      <c r="F344" s="86">
        <v>60</v>
      </c>
      <c r="G344" s="121">
        <v>140.36476999999999</v>
      </c>
      <c r="H344" s="146"/>
      <c r="I344" s="31"/>
    </row>
    <row r="345" spans="1:9" ht="21" customHeight="1" x14ac:dyDescent="0.25">
      <c r="A345" s="131" t="s">
        <v>386</v>
      </c>
      <c r="B345" s="86" t="s">
        <v>385</v>
      </c>
      <c r="C345" s="120">
        <v>2022</v>
      </c>
      <c r="D345" s="120">
        <v>0.4</v>
      </c>
      <c r="E345" s="120"/>
      <c r="F345" s="86">
        <v>50</v>
      </c>
      <c r="G345" s="121">
        <v>10.01036</v>
      </c>
      <c r="H345" s="146"/>
      <c r="I345" s="31"/>
    </row>
    <row r="346" spans="1:9" ht="47.1" customHeight="1" x14ac:dyDescent="0.25">
      <c r="A346" s="35" t="s">
        <v>384</v>
      </c>
      <c r="B346" s="34" t="s">
        <v>383</v>
      </c>
      <c r="C346" s="33"/>
      <c r="D346" s="17"/>
      <c r="E346" s="33"/>
      <c r="F346" s="32">
        <f>SUM(F351:F383)</f>
        <v>5755.5999999999985</v>
      </c>
      <c r="G346" s="32">
        <f>SUM(G351:G383)</f>
        <v>18268.163897752373</v>
      </c>
      <c r="H346" s="135"/>
      <c r="I346" s="31"/>
    </row>
    <row r="347" spans="1:9" s="30" customFormat="1" ht="72.599999999999994" customHeight="1" x14ac:dyDescent="0.25">
      <c r="A347" s="25" t="s">
        <v>382</v>
      </c>
      <c r="B347" s="29" t="s">
        <v>381</v>
      </c>
      <c r="C347" s="13"/>
      <c r="D347" s="12"/>
      <c r="E347" s="13"/>
      <c r="F347" s="12"/>
      <c r="G347" s="11"/>
      <c r="H347" s="2"/>
    </row>
    <row r="348" spans="1:9" ht="39.6" customHeight="1" x14ac:dyDescent="0.25">
      <c r="A348" s="25" t="s">
        <v>380</v>
      </c>
      <c r="B348" s="29" t="s">
        <v>326</v>
      </c>
      <c r="C348" s="13"/>
      <c r="D348" s="12"/>
      <c r="E348" s="13"/>
      <c r="F348" s="12"/>
      <c r="G348" s="11"/>
    </row>
    <row r="349" spans="1:9" ht="139.5" customHeight="1" x14ac:dyDescent="0.25">
      <c r="A349" s="25" t="s">
        <v>379</v>
      </c>
      <c r="B349" s="29" t="s">
        <v>378</v>
      </c>
      <c r="C349" s="13"/>
      <c r="D349" s="12"/>
      <c r="E349" s="13"/>
      <c r="F349" s="12"/>
      <c r="G349" s="50"/>
      <c r="H349" s="134"/>
    </row>
    <row r="350" spans="1:9" ht="39.950000000000003" customHeight="1" x14ac:dyDescent="0.25">
      <c r="A350" s="25" t="s">
        <v>377</v>
      </c>
      <c r="B350" s="29" t="s">
        <v>376</v>
      </c>
      <c r="C350" s="13"/>
      <c r="D350" s="12"/>
      <c r="E350" s="13"/>
      <c r="F350" s="12"/>
      <c r="G350" s="50"/>
      <c r="H350" s="134"/>
      <c r="I350" s="1">
        <v>171</v>
      </c>
    </row>
    <row r="351" spans="1:9" x14ac:dyDescent="0.25">
      <c r="A351" s="28" t="s">
        <v>341</v>
      </c>
      <c r="B351" s="27" t="s">
        <v>375</v>
      </c>
      <c r="C351" s="26">
        <v>2020</v>
      </c>
      <c r="D351" s="26">
        <v>0.4</v>
      </c>
      <c r="E351" s="27"/>
      <c r="F351" s="26">
        <v>235</v>
      </c>
      <c r="G351" s="72">
        <v>910.76</v>
      </c>
      <c r="H351" s="140"/>
      <c r="I351" s="1">
        <v>330</v>
      </c>
    </row>
    <row r="352" spans="1:9" x14ac:dyDescent="0.25">
      <c r="A352" s="25" t="s">
        <v>341</v>
      </c>
      <c r="B352" s="24" t="s">
        <v>374</v>
      </c>
      <c r="C352" s="23">
        <v>2020</v>
      </c>
      <c r="D352" s="23">
        <v>0.4</v>
      </c>
      <c r="E352" s="24"/>
      <c r="F352" s="23">
        <v>235</v>
      </c>
      <c r="G352" s="89">
        <v>852.31</v>
      </c>
      <c r="H352" s="140"/>
      <c r="I352" s="1">
        <v>191</v>
      </c>
    </row>
    <row r="353" spans="1:10" x14ac:dyDescent="0.25">
      <c r="A353" s="22" t="s">
        <v>373</v>
      </c>
      <c r="B353" s="20" t="s">
        <v>372</v>
      </c>
      <c r="C353" s="12">
        <v>2020</v>
      </c>
      <c r="D353" s="12">
        <v>0.4</v>
      </c>
      <c r="E353" s="13"/>
      <c r="F353" s="12">
        <f>400*0.94</f>
        <v>376</v>
      </c>
      <c r="G353" s="50">
        <v>1013.49</v>
      </c>
      <c r="H353" s="134"/>
      <c r="I353" s="1">
        <v>320</v>
      </c>
    </row>
    <row r="354" spans="1:10" x14ac:dyDescent="0.25">
      <c r="A354" s="22" t="s">
        <v>371</v>
      </c>
      <c r="B354" s="20" t="s">
        <v>370</v>
      </c>
      <c r="C354" s="12">
        <v>2020</v>
      </c>
      <c r="D354" s="12">
        <v>0.4</v>
      </c>
      <c r="E354" s="13"/>
      <c r="F354" s="12">
        <f>630*0.94</f>
        <v>592.19999999999993</v>
      </c>
      <c r="G354" s="50">
        <v>1077.1400000000001</v>
      </c>
      <c r="H354" s="134"/>
      <c r="I354" s="1">
        <v>338</v>
      </c>
    </row>
    <row r="355" spans="1:10" x14ac:dyDescent="0.25">
      <c r="A355" s="22" t="s">
        <v>366</v>
      </c>
      <c r="B355" s="20" t="s">
        <v>369</v>
      </c>
      <c r="C355" s="12">
        <v>2020</v>
      </c>
      <c r="D355" s="12">
        <v>0.4</v>
      </c>
      <c r="E355" s="13"/>
      <c r="F355" s="12">
        <f>40*0.94</f>
        <v>37.599999999999994</v>
      </c>
      <c r="G355" s="50">
        <v>284.35000000000002</v>
      </c>
      <c r="H355" s="134"/>
      <c r="I355" s="1">
        <v>325</v>
      </c>
    </row>
    <row r="356" spans="1:10" ht="19.5" customHeight="1" x14ac:dyDescent="0.25">
      <c r="A356" s="22" t="s">
        <v>368</v>
      </c>
      <c r="B356" s="20" t="s">
        <v>367</v>
      </c>
      <c r="C356" s="12">
        <v>2020</v>
      </c>
      <c r="D356" s="12">
        <v>0.4</v>
      </c>
      <c r="E356" s="13"/>
      <c r="F356" s="12">
        <f>250*0.94</f>
        <v>235</v>
      </c>
      <c r="G356" s="11">
        <v>2822.44</v>
      </c>
      <c r="I356" s="1">
        <v>6960.49</v>
      </c>
      <c r="J356" s="1">
        <v>8154.77</v>
      </c>
    </row>
    <row r="357" spans="1:10" ht="22.5" customHeight="1" x14ac:dyDescent="0.25">
      <c r="A357" s="22" t="s">
        <v>366</v>
      </c>
      <c r="B357" s="20" t="s">
        <v>365</v>
      </c>
      <c r="C357" s="12">
        <v>2021</v>
      </c>
      <c r="D357" s="12">
        <v>0.4</v>
      </c>
      <c r="E357" s="13"/>
      <c r="F357" s="12">
        <v>37.6</v>
      </c>
      <c r="G357" s="11">
        <v>274.38499999999999</v>
      </c>
      <c r="I357" s="1" t="s">
        <v>364</v>
      </c>
      <c r="J357" s="1" t="s">
        <v>363</v>
      </c>
    </row>
    <row r="358" spans="1:10" ht="19.5" customHeight="1" x14ac:dyDescent="0.25">
      <c r="A358" s="22" t="s">
        <v>341</v>
      </c>
      <c r="B358" s="20" t="s">
        <v>362</v>
      </c>
      <c r="C358" s="12">
        <v>2021</v>
      </c>
      <c r="D358" s="12">
        <v>0.4</v>
      </c>
      <c r="E358" s="13"/>
      <c r="F358" s="12">
        <v>235</v>
      </c>
      <c r="G358" s="11">
        <v>1006.06</v>
      </c>
      <c r="I358" s="1" t="s">
        <v>361</v>
      </c>
      <c r="J358" s="1" t="s">
        <v>360</v>
      </c>
    </row>
    <row r="359" spans="1:10" ht="18" customHeight="1" x14ac:dyDescent="0.25">
      <c r="A359" s="22" t="s">
        <v>337</v>
      </c>
      <c r="B359" s="20" t="s">
        <v>359</v>
      </c>
      <c r="C359" s="12">
        <v>2021</v>
      </c>
      <c r="D359" s="12">
        <v>0.4</v>
      </c>
      <c r="E359" s="13"/>
      <c r="F359" s="12">
        <v>235</v>
      </c>
      <c r="G359" s="11">
        <v>977.08299999999997</v>
      </c>
      <c r="I359" s="1" t="s">
        <v>358</v>
      </c>
      <c r="J359" s="1" t="s">
        <v>357</v>
      </c>
    </row>
    <row r="360" spans="1:10" ht="18" customHeight="1" x14ac:dyDescent="0.25">
      <c r="A360" s="22" t="s">
        <v>341</v>
      </c>
      <c r="B360" s="20" t="s">
        <v>356</v>
      </c>
      <c r="C360" s="12">
        <v>2020</v>
      </c>
      <c r="D360" s="12">
        <v>0.4</v>
      </c>
      <c r="E360" s="13"/>
      <c r="F360" s="12">
        <v>235</v>
      </c>
      <c r="G360" s="11">
        <v>54.402900000000002</v>
      </c>
      <c r="I360" s="1" t="s">
        <v>355</v>
      </c>
    </row>
    <row r="361" spans="1:10" ht="18" customHeight="1" x14ac:dyDescent="0.25">
      <c r="A361" s="22" t="s">
        <v>337</v>
      </c>
      <c r="B361" s="20" t="s">
        <v>354</v>
      </c>
      <c r="C361" s="12">
        <v>2021</v>
      </c>
      <c r="D361" s="12">
        <v>0.4</v>
      </c>
      <c r="E361" s="13"/>
      <c r="F361" s="12">
        <v>150</v>
      </c>
      <c r="G361" s="11">
        <v>141.39500000000001</v>
      </c>
      <c r="I361" s="1" t="s">
        <v>353</v>
      </c>
      <c r="J361" s="1" t="s">
        <v>352</v>
      </c>
    </row>
    <row r="362" spans="1:10" ht="18" customHeight="1" x14ac:dyDescent="0.25">
      <c r="A362" s="102" t="s">
        <v>341</v>
      </c>
      <c r="B362" s="94" t="s">
        <v>100</v>
      </c>
      <c r="C362" s="95">
        <v>2022</v>
      </c>
      <c r="D362" s="96" t="s">
        <v>339</v>
      </c>
      <c r="E362" s="320" t="s">
        <v>334</v>
      </c>
      <c r="F362" s="323">
        <f>250*0.93</f>
        <v>232.5</v>
      </c>
      <c r="G362" s="98">
        <v>58.758555483870971</v>
      </c>
      <c r="H362" s="146"/>
    </row>
    <row r="363" spans="1:10" ht="18" customHeight="1" x14ac:dyDescent="0.25">
      <c r="A363" s="102" t="s">
        <v>341</v>
      </c>
      <c r="B363" s="94" t="s">
        <v>99</v>
      </c>
      <c r="C363" s="95">
        <v>2022</v>
      </c>
      <c r="D363" s="96" t="s">
        <v>339</v>
      </c>
      <c r="E363" s="322"/>
      <c r="F363" s="325"/>
      <c r="G363" s="98">
        <v>58.758555483870971</v>
      </c>
      <c r="H363" s="146"/>
    </row>
    <row r="364" spans="1:10" ht="18" customHeight="1" x14ac:dyDescent="0.25">
      <c r="A364" s="102" t="s">
        <v>333</v>
      </c>
      <c r="B364" s="94" t="s">
        <v>686</v>
      </c>
      <c r="C364" s="95">
        <v>2022</v>
      </c>
      <c r="D364" s="96" t="s">
        <v>331</v>
      </c>
      <c r="E364" s="103" t="s">
        <v>334</v>
      </c>
      <c r="F364" s="104">
        <f>400*0.94</f>
        <v>376</v>
      </c>
      <c r="G364" s="98">
        <v>23.651841702127662</v>
      </c>
      <c r="H364" s="146"/>
    </row>
    <row r="365" spans="1:10" ht="18" customHeight="1" x14ac:dyDescent="0.25">
      <c r="A365" s="102" t="s">
        <v>351</v>
      </c>
      <c r="B365" s="94" t="s">
        <v>98</v>
      </c>
      <c r="C365" s="95">
        <v>2022</v>
      </c>
      <c r="D365" s="96" t="s">
        <v>339</v>
      </c>
      <c r="E365" s="320" t="s">
        <v>334</v>
      </c>
      <c r="F365" s="323">
        <f>100*0.93</f>
        <v>93</v>
      </c>
      <c r="G365" s="98">
        <v>137.4381193548387</v>
      </c>
      <c r="H365" s="146"/>
    </row>
    <row r="366" spans="1:10" ht="18" customHeight="1" x14ac:dyDescent="0.25">
      <c r="A366" s="102" t="s">
        <v>351</v>
      </c>
      <c r="B366" s="94" t="s">
        <v>97</v>
      </c>
      <c r="C366" s="95">
        <v>2022</v>
      </c>
      <c r="D366" s="96" t="s">
        <v>339</v>
      </c>
      <c r="E366" s="322"/>
      <c r="F366" s="325"/>
      <c r="G366" s="98">
        <v>137.4381193548387</v>
      </c>
      <c r="H366" s="146"/>
    </row>
    <row r="367" spans="1:10" ht="18" customHeight="1" x14ac:dyDescent="0.25">
      <c r="A367" s="102" t="s">
        <v>341</v>
      </c>
      <c r="B367" s="94" t="s">
        <v>96</v>
      </c>
      <c r="C367" s="95">
        <v>2022</v>
      </c>
      <c r="D367" s="96" t="s">
        <v>339</v>
      </c>
      <c r="E367" s="320" t="s">
        <v>334</v>
      </c>
      <c r="F367" s="323">
        <f>250*0.93</f>
        <v>232.5</v>
      </c>
      <c r="G367" s="98">
        <v>85.336790967741933</v>
      </c>
      <c r="H367" s="146"/>
    </row>
    <row r="368" spans="1:10" ht="18" customHeight="1" x14ac:dyDescent="0.25">
      <c r="A368" s="102" t="s">
        <v>341</v>
      </c>
      <c r="B368" s="94" t="s">
        <v>95</v>
      </c>
      <c r="C368" s="95">
        <v>2022</v>
      </c>
      <c r="D368" s="96" t="s">
        <v>339</v>
      </c>
      <c r="E368" s="321"/>
      <c r="F368" s="324"/>
      <c r="G368" s="98">
        <v>85.336790967741933</v>
      </c>
      <c r="H368" s="146"/>
    </row>
    <row r="369" spans="1:9" ht="18" customHeight="1" x14ac:dyDescent="0.25">
      <c r="A369" s="102" t="s">
        <v>341</v>
      </c>
      <c r="B369" s="94" t="s">
        <v>94</v>
      </c>
      <c r="C369" s="95">
        <v>2022</v>
      </c>
      <c r="D369" s="96" t="s">
        <v>339</v>
      </c>
      <c r="E369" s="322"/>
      <c r="F369" s="325"/>
      <c r="G369" s="98">
        <v>28.44559698924731</v>
      </c>
      <c r="H369" s="146"/>
    </row>
    <row r="370" spans="1:9" ht="18" customHeight="1" x14ac:dyDescent="0.25">
      <c r="A370" s="90" t="s">
        <v>337</v>
      </c>
      <c r="B370" s="91" t="s">
        <v>350</v>
      </c>
      <c r="C370" s="87">
        <v>2022</v>
      </c>
      <c r="D370" s="87" t="s">
        <v>331</v>
      </c>
      <c r="E370" s="87" t="s">
        <v>334</v>
      </c>
      <c r="F370" s="87">
        <v>150.39999999999998</v>
      </c>
      <c r="G370" s="11">
        <v>811.24816128989369</v>
      </c>
      <c r="H370" s="146"/>
      <c r="I370" s="1" t="s">
        <v>711</v>
      </c>
    </row>
    <row r="371" spans="1:9" ht="18" customHeight="1" x14ac:dyDescent="0.25">
      <c r="A371" s="90" t="s">
        <v>337</v>
      </c>
      <c r="B371" s="91" t="s">
        <v>349</v>
      </c>
      <c r="C371" s="87">
        <v>2022</v>
      </c>
      <c r="D371" s="87" t="s">
        <v>331</v>
      </c>
      <c r="E371" s="345" t="s">
        <v>334</v>
      </c>
      <c r="F371" s="345">
        <v>250</v>
      </c>
      <c r="G371" s="11">
        <v>806.49431399999992</v>
      </c>
      <c r="H371" s="146"/>
    </row>
    <row r="372" spans="1:9" ht="18" customHeight="1" x14ac:dyDescent="0.25">
      <c r="A372" s="90" t="s">
        <v>337</v>
      </c>
      <c r="B372" s="91" t="s">
        <v>348</v>
      </c>
      <c r="C372" s="87">
        <v>2022</v>
      </c>
      <c r="D372" s="87" t="s">
        <v>331</v>
      </c>
      <c r="E372" s="346"/>
      <c r="F372" s="346"/>
      <c r="G372" s="11">
        <v>537.66287599999998</v>
      </c>
      <c r="H372" s="146"/>
    </row>
    <row r="373" spans="1:9" ht="18" customHeight="1" x14ac:dyDescent="0.25">
      <c r="A373" s="21" t="s">
        <v>337</v>
      </c>
      <c r="B373" s="20" t="s">
        <v>347</v>
      </c>
      <c r="C373" s="12">
        <v>2022</v>
      </c>
      <c r="D373" s="12" t="s">
        <v>331</v>
      </c>
      <c r="E373" s="12" t="s">
        <v>334</v>
      </c>
      <c r="F373" s="12">
        <v>235</v>
      </c>
      <c r="G373" s="11">
        <v>202.79097021276596</v>
      </c>
      <c r="H373" s="146"/>
    </row>
    <row r="374" spans="1:9" ht="18" customHeight="1" x14ac:dyDescent="0.25">
      <c r="A374" s="21" t="s">
        <v>333</v>
      </c>
      <c r="B374" s="20" t="s">
        <v>346</v>
      </c>
      <c r="C374" s="12">
        <v>2022</v>
      </c>
      <c r="D374" s="12" t="s">
        <v>331</v>
      </c>
      <c r="E374" s="343" t="s">
        <v>334</v>
      </c>
      <c r="F374" s="343">
        <v>376</v>
      </c>
      <c r="G374" s="11">
        <v>147.82401063829789</v>
      </c>
      <c r="H374" s="146"/>
    </row>
    <row r="375" spans="1:9" ht="18" customHeight="1" x14ac:dyDescent="0.25">
      <c r="A375" s="21" t="s">
        <v>333</v>
      </c>
      <c r="B375" s="20" t="s">
        <v>345</v>
      </c>
      <c r="C375" s="12">
        <v>2022</v>
      </c>
      <c r="D375" s="12" t="s">
        <v>331</v>
      </c>
      <c r="E375" s="347"/>
      <c r="F375" s="347"/>
      <c r="G375" s="11">
        <v>443.47203191489365</v>
      </c>
      <c r="H375" s="146"/>
    </row>
    <row r="376" spans="1:9" ht="18" customHeight="1" x14ac:dyDescent="0.25">
      <c r="A376" s="21" t="s">
        <v>333</v>
      </c>
      <c r="B376" s="20" t="s">
        <v>344</v>
      </c>
      <c r="C376" s="12">
        <v>2022</v>
      </c>
      <c r="D376" s="12" t="s">
        <v>331</v>
      </c>
      <c r="E376" s="344"/>
      <c r="F376" s="344"/>
      <c r="G376" s="11">
        <v>443.47203191489365</v>
      </c>
      <c r="H376" s="146"/>
    </row>
    <row r="377" spans="1:9" ht="18" customHeight="1" x14ac:dyDescent="0.25">
      <c r="A377" s="21" t="s">
        <v>733</v>
      </c>
      <c r="B377" s="20" t="s">
        <v>343</v>
      </c>
      <c r="C377" s="12">
        <v>2022</v>
      </c>
      <c r="D377" s="12">
        <v>0.4</v>
      </c>
      <c r="E377" s="12" t="s">
        <v>334</v>
      </c>
      <c r="F377" s="12">
        <v>65</v>
      </c>
      <c r="G377" s="11">
        <v>747.34202925531918</v>
      </c>
      <c r="H377" s="146"/>
    </row>
    <row r="378" spans="1:9" ht="18" customHeight="1" x14ac:dyDescent="0.25">
      <c r="A378" s="21" t="s">
        <v>341</v>
      </c>
      <c r="B378" s="20" t="s">
        <v>342</v>
      </c>
      <c r="C378" s="12">
        <v>2022</v>
      </c>
      <c r="D378" s="12">
        <v>0.4</v>
      </c>
      <c r="E378" s="12" t="s">
        <v>334</v>
      </c>
      <c r="F378" s="12">
        <v>232.5</v>
      </c>
      <c r="G378" s="11">
        <v>853.36790967741933</v>
      </c>
      <c r="H378" s="146"/>
    </row>
    <row r="379" spans="1:9" ht="18" customHeight="1" x14ac:dyDescent="0.25">
      <c r="A379" s="21" t="s">
        <v>341</v>
      </c>
      <c r="B379" s="20" t="s">
        <v>340</v>
      </c>
      <c r="C379" s="12">
        <v>2022</v>
      </c>
      <c r="D379" s="12">
        <v>0.4</v>
      </c>
      <c r="E379" s="12" t="s">
        <v>334</v>
      </c>
      <c r="F379" s="12">
        <v>232.5</v>
      </c>
      <c r="G379" s="11">
        <v>432.71317419354841</v>
      </c>
      <c r="H379" s="146"/>
    </row>
    <row r="380" spans="1:9" ht="18" customHeight="1" x14ac:dyDescent="0.25">
      <c r="A380" s="21" t="s">
        <v>337</v>
      </c>
      <c r="B380" s="20" t="s">
        <v>338</v>
      </c>
      <c r="C380" s="12">
        <v>2022</v>
      </c>
      <c r="D380" s="12">
        <v>0.4</v>
      </c>
      <c r="E380" s="12" t="s">
        <v>334</v>
      </c>
      <c r="F380" s="12">
        <v>150.39999999999998</v>
      </c>
      <c r="G380" s="11">
        <v>913.50110372340441</v>
      </c>
      <c r="H380" s="146"/>
    </row>
    <row r="381" spans="1:9" ht="18" customHeight="1" x14ac:dyDescent="0.25">
      <c r="A381" s="21" t="s">
        <v>337</v>
      </c>
      <c r="B381" s="20" t="s">
        <v>336</v>
      </c>
      <c r="C381" s="12">
        <v>2022</v>
      </c>
      <c r="D381" s="12">
        <v>0.4</v>
      </c>
      <c r="E381" s="12" t="s">
        <v>334</v>
      </c>
      <c r="F381" s="12">
        <v>150.39999999999998</v>
      </c>
      <c r="G381" s="11">
        <v>782.22705452127673</v>
      </c>
      <c r="H381" s="146"/>
    </row>
    <row r="382" spans="1:9" ht="18" customHeight="1" x14ac:dyDescent="0.25">
      <c r="A382" s="21" t="s">
        <v>333</v>
      </c>
      <c r="B382" s="20" t="s">
        <v>335</v>
      </c>
      <c r="C382" s="12">
        <v>2022</v>
      </c>
      <c r="D382" s="343" t="s">
        <v>331</v>
      </c>
      <c r="E382" s="343" t="s">
        <v>334</v>
      </c>
      <c r="F382" s="343">
        <v>376</v>
      </c>
      <c r="G382" s="11">
        <v>558.5339800531915</v>
      </c>
      <c r="H382" s="146"/>
    </row>
    <row r="383" spans="1:9" ht="18" customHeight="1" x14ac:dyDescent="0.25">
      <c r="A383" s="21" t="s">
        <v>333</v>
      </c>
      <c r="B383" s="20" t="s">
        <v>332</v>
      </c>
      <c r="C383" s="12">
        <v>2022</v>
      </c>
      <c r="D383" s="344"/>
      <c r="E383" s="344"/>
      <c r="F383" s="344"/>
      <c r="G383" s="11">
        <v>558.5339800531915</v>
      </c>
      <c r="H383" s="146"/>
    </row>
    <row r="384" spans="1:9" ht="43.5" customHeight="1" x14ac:dyDescent="0.25">
      <c r="A384" s="19">
        <v>7</v>
      </c>
      <c r="B384" s="18" t="s">
        <v>330</v>
      </c>
      <c r="C384" s="12"/>
      <c r="D384" s="12"/>
      <c r="E384" s="13"/>
      <c r="F384" s="12"/>
      <c r="G384" s="11"/>
    </row>
    <row r="385" spans="1:11" ht="47.25" x14ac:dyDescent="0.25">
      <c r="A385" s="12" t="s">
        <v>329</v>
      </c>
      <c r="B385" s="14" t="s">
        <v>328</v>
      </c>
      <c r="C385" s="12"/>
      <c r="D385" s="12"/>
      <c r="E385" s="13"/>
      <c r="F385" s="12"/>
      <c r="G385" s="11"/>
    </row>
    <row r="386" spans="1:11" ht="31.5" x14ac:dyDescent="0.25">
      <c r="A386" s="12" t="s">
        <v>327</v>
      </c>
      <c r="B386" s="14" t="s">
        <v>326</v>
      </c>
      <c r="C386" s="12"/>
      <c r="D386" s="12"/>
      <c r="E386" s="13"/>
      <c r="F386" s="12"/>
      <c r="G386" s="11"/>
    </row>
    <row r="387" spans="1:11" ht="141.75" x14ac:dyDescent="0.25">
      <c r="A387" s="12" t="s">
        <v>325</v>
      </c>
      <c r="B387" s="14" t="s">
        <v>324</v>
      </c>
      <c r="C387" s="12"/>
      <c r="D387" s="12"/>
      <c r="E387" s="13"/>
      <c r="F387" s="12"/>
      <c r="G387" s="11"/>
    </row>
    <row r="388" spans="1:11" ht="18" customHeight="1" x14ac:dyDescent="0.25">
      <c r="A388" s="12" t="s">
        <v>323</v>
      </c>
      <c r="B388" s="14" t="s">
        <v>322</v>
      </c>
      <c r="C388" s="12"/>
      <c r="D388" s="12"/>
      <c r="E388" s="13"/>
      <c r="F388" s="12"/>
      <c r="G388" s="11"/>
    </row>
    <row r="389" spans="1:11" ht="31.5" x14ac:dyDescent="0.25">
      <c r="A389" s="17">
        <v>8</v>
      </c>
      <c r="B389" s="16" t="s">
        <v>321</v>
      </c>
      <c r="C389" s="12"/>
      <c r="D389" s="12"/>
      <c r="E389" s="13"/>
      <c r="F389" s="12"/>
      <c r="G389" s="11"/>
    </row>
    <row r="390" spans="1:11" ht="31.5" x14ac:dyDescent="0.25">
      <c r="A390" s="12" t="s">
        <v>320</v>
      </c>
      <c r="B390" s="14" t="s">
        <v>319</v>
      </c>
      <c r="C390" s="12"/>
      <c r="D390" s="12"/>
      <c r="E390" s="13"/>
      <c r="F390" s="12"/>
      <c r="G390" s="11"/>
    </row>
    <row r="391" spans="1:11" ht="110.25" x14ac:dyDescent="0.25">
      <c r="A391" s="12" t="s">
        <v>318</v>
      </c>
      <c r="B391" s="14" t="s">
        <v>317</v>
      </c>
      <c r="C391" s="12"/>
      <c r="D391" s="12"/>
      <c r="E391" s="13"/>
      <c r="F391" s="12"/>
      <c r="G391" s="11"/>
    </row>
    <row r="392" spans="1:11" x14ac:dyDescent="0.25">
      <c r="A392" s="12" t="s">
        <v>316</v>
      </c>
      <c r="B392" s="14" t="s">
        <v>315</v>
      </c>
      <c r="C392" s="12"/>
      <c r="D392" s="12"/>
      <c r="E392" s="13"/>
      <c r="F392" s="12"/>
      <c r="G392" s="11"/>
    </row>
    <row r="393" spans="1:11" ht="47.25" x14ac:dyDescent="0.25">
      <c r="A393" s="17" t="s">
        <v>314</v>
      </c>
      <c r="B393" s="16" t="s">
        <v>313</v>
      </c>
      <c r="C393" s="13"/>
      <c r="D393" s="12"/>
      <c r="E393" s="13"/>
      <c r="F393" s="12"/>
      <c r="G393" s="11"/>
    </row>
    <row r="394" spans="1:11" ht="33" customHeight="1" x14ac:dyDescent="0.25">
      <c r="A394" s="12" t="s">
        <v>312</v>
      </c>
      <c r="B394" s="14" t="s">
        <v>311</v>
      </c>
      <c r="C394" s="13"/>
      <c r="D394" s="12"/>
      <c r="E394" s="13"/>
      <c r="F394" s="12"/>
      <c r="G394" s="11"/>
    </row>
    <row r="395" spans="1:11" ht="35.25" customHeight="1" x14ac:dyDescent="0.25">
      <c r="A395" s="12" t="s">
        <v>310</v>
      </c>
      <c r="B395" s="14" t="s">
        <v>309</v>
      </c>
      <c r="C395" s="13"/>
      <c r="D395" s="12"/>
      <c r="E395" s="13"/>
      <c r="F395" s="12"/>
      <c r="G395" s="11"/>
      <c r="I395" s="15">
        <v>12729.13</v>
      </c>
      <c r="J395" s="1">
        <v>1000</v>
      </c>
      <c r="K395" s="1">
        <f>G396*J395</f>
        <v>12730</v>
      </c>
    </row>
    <row r="396" spans="1:11" x14ac:dyDescent="0.25">
      <c r="A396" s="12" t="s">
        <v>5</v>
      </c>
      <c r="B396" s="14" t="s">
        <v>308</v>
      </c>
      <c r="C396" s="12">
        <v>2020</v>
      </c>
      <c r="D396" s="12">
        <v>0.4</v>
      </c>
      <c r="E396" s="13"/>
      <c r="F396" s="12">
        <v>5</v>
      </c>
      <c r="G396" s="11">
        <v>12.73</v>
      </c>
      <c r="I396" s="1">
        <v>27961.040000000001</v>
      </c>
      <c r="J396" s="1">
        <v>1000</v>
      </c>
    </row>
    <row r="397" spans="1:11" x14ac:dyDescent="0.25">
      <c r="A397" s="12" t="s">
        <v>13</v>
      </c>
      <c r="B397" s="14" t="s">
        <v>307</v>
      </c>
      <c r="C397" s="12">
        <v>2020</v>
      </c>
      <c r="D397" s="12">
        <v>0.4</v>
      </c>
      <c r="E397" s="13"/>
      <c r="F397" s="12">
        <v>15</v>
      </c>
      <c r="G397" s="11">
        <v>27.96</v>
      </c>
      <c r="I397" s="1">
        <v>16197.9</v>
      </c>
      <c r="J397" s="1">
        <v>1000</v>
      </c>
    </row>
    <row r="398" spans="1:11" x14ac:dyDescent="0.25">
      <c r="A398" s="12" t="s">
        <v>13</v>
      </c>
      <c r="B398" s="14" t="s">
        <v>306</v>
      </c>
      <c r="C398" s="12">
        <v>2020</v>
      </c>
      <c r="D398" s="12">
        <v>0.4</v>
      </c>
      <c r="E398" s="13"/>
      <c r="F398" s="12">
        <v>15</v>
      </c>
      <c r="G398" s="11">
        <v>16.2</v>
      </c>
      <c r="I398" s="1">
        <v>7380.55</v>
      </c>
      <c r="J398" s="1">
        <v>1000</v>
      </c>
    </row>
    <row r="399" spans="1:11" x14ac:dyDescent="0.25">
      <c r="A399" s="12" t="s">
        <v>5</v>
      </c>
      <c r="B399" s="14" t="s">
        <v>305</v>
      </c>
      <c r="C399" s="12">
        <v>2020</v>
      </c>
      <c r="D399" s="12">
        <v>0.4</v>
      </c>
      <c r="E399" s="13"/>
      <c r="F399" s="12">
        <v>5</v>
      </c>
      <c r="G399" s="11">
        <v>7.38</v>
      </c>
      <c r="I399" s="1">
        <v>21303.94</v>
      </c>
      <c r="J399" s="1">
        <v>1000</v>
      </c>
    </row>
    <row r="400" spans="1:11" x14ac:dyDescent="0.25">
      <c r="A400" s="12" t="s">
        <v>13</v>
      </c>
      <c r="B400" s="14" t="s">
        <v>304</v>
      </c>
      <c r="C400" s="12">
        <v>2020</v>
      </c>
      <c r="D400" s="12">
        <v>0.4</v>
      </c>
      <c r="E400" s="13"/>
      <c r="F400" s="12">
        <v>15</v>
      </c>
      <c r="G400" s="11">
        <v>21.64</v>
      </c>
      <c r="I400" s="1">
        <v>21643.1</v>
      </c>
      <c r="J400" s="1">
        <v>1000</v>
      </c>
    </row>
    <row r="401" spans="1:10" x14ac:dyDescent="0.25">
      <c r="A401" s="12" t="s">
        <v>13</v>
      </c>
      <c r="B401" s="14" t="s">
        <v>303</v>
      </c>
      <c r="C401" s="12">
        <v>2020</v>
      </c>
      <c r="D401" s="12">
        <v>0.4</v>
      </c>
      <c r="E401" s="13"/>
      <c r="F401" s="12">
        <v>15</v>
      </c>
      <c r="G401" s="11">
        <v>21.3</v>
      </c>
      <c r="I401" s="1">
        <v>11660.7</v>
      </c>
      <c r="J401" s="1">
        <v>1000</v>
      </c>
    </row>
    <row r="402" spans="1:10" x14ac:dyDescent="0.25">
      <c r="A402" s="12" t="s">
        <v>5</v>
      </c>
      <c r="B402" s="14" t="s">
        <v>302</v>
      </c>
      <c r="C402" s="12">
        <v>2020</v>
      </c>
      <c r="D402" s="12">
        <v>0.4</v>
      </c>
      <c r="E402" s="13"/>
      <c r="F402" s="12">
        <v>5</v>
      </c>
      <c r="G402" s="11">
        <v>11.66</v>
      </c>
      <c r="I402" s="1">
        <v>11660.7</v>
      </c>
      <c r="J402" s="1">
        <v>1000</v>
      </c>
    </row>
    <row r="403" spans="1:10" x14ac:dyDescent="0.25">
      <c r="A403" s="12" t="s">
        <v>5</v>
      </c>
      <c r="B403" s="14" t="s">
        <v>301</v>
      </c>
      <c r="C403" s="12">
        <v>2020</v>
      </c>
      <c r="D403" s="12">
        <v>0.4</v>
      </c>
      <c r="E403" s="13"/>
      <c r="F403" s="12">
        <v>5</v>
      </c>
      <c r="G403" s="11">
        <v>11.66</v>
      </c>
      <c r="I403" s="1">
        <v>13351.58</v>
      </c>
      <c r="J403" s="1">
        <v>1000</v>
      </c>
    </row>
    <row r="404" spans="1:10" x14ac:dyDescent="0.25">
      <c r="A404" s="12" t="s">
        <v>9</v>
      </c>
      <c r="B404" s="14" t="s">
        <v>300</v>
      </c>
      <c r="C404" s="12">
        <v>2020</v>
      </c>
      <c r="D404" s="12">
        <v>0.4</v>
      </c>
      <c r="E404" s="13"/>
      <c r="F404" s="12">
        <v>50</v>
      </c>
      <c r="G404" s="11">
        <v>13.35</v>
      </c>
      <c r="I404" s="1">
        <v>15126.54</v>
      </c>
      <c r="J404" s="1">
        <v>1000</v>
      </c>
    </row>
    <row r="405" spans="1:10" x14ac:dyDescent="0.25">
      <c r="A405" s="12" t="s">
        <v>5</v>
      </c>
      <c r="B405" s="14" t="s">
        <v>299</v>
      </c>
      <c r="C405" s="12">
        <v>2020</v>
      </c>
      <c r="D405" s="12">
        <v>0.4</v>
      </c>
      <c r="E405" s="13"/>
      <c r="F405" s="12">
        <v>5</v>
      </c>
      <c r="G405" s="11">
        <v>15.13</v>
      </c>
      <c r="I405" s="1">
        <v>14272.14</v>
      </c>
      <c r="J405" s="1">
        <v>1000</v>
      </c>
    </row>
    <row r="406" spans="1:10" x14ac:dyDescent="0.25">
      <c r="A406" s="12" t="s">
        <v>5</v>
      </c>
      <c r="B406" s="14" t="s">
        <v>298</v>
      </c>
      <c r="C406" s="12">
        <v>2020</v>
      </c>
      <c r="D406" s="12">
        <v>0.4</v>
      </c>
      <c r="E406" s="13"/>
      <c r="F406" s="12">
        <v>5</v>
      </c>
      <c r="G406" s="11">
        <v>14.27</v>
      </c>
    </row>
    <row r="407" spans="1:10" x14ac:dyDescent="0.25">
      <c r="A407" s="12" t="s">
        <v>13</v>
      </c>
      <c r="B407" s="14" t="s">
        <v>297</v>
      </c>
      <c r="C407" s="12">
        <v>2021</v>
      </c>
      <c r="D407" s="12">
        <v>0.4</v>
      </c>
      <c r="E407" s="13"/>
      <c r="F407" s="12">
        <v>15</v>
      </c>
      <c r="G407" s="11">
        <f>22046.25/1000</f>
        <v>22.046250000000001</v>
      </c>
      <c r="I407" s="1" t="s">
        <v>296</v>
      </c>
    </row>
    <row r="408" spans="1:10" x14ac:dyDescent="0.25">
      <c r="A408" s="12" t="s">
        <v>5</v>
      </c>
      <c r="B408" s="14" t="s">
        <v>295</v>
      </c>
      <c r="C408" s="12">
        <v>2021</v>
      </c>
      <c r="D408" s="12">
        <v>0.4</v>
      </c>
      <c r="E408" s="13"/>
      <c r="F408" s="12">
        <v>5</v>
      </c>
      <c r="G408" s="11">
        <f>13092.91/1000</f>
        <v>13.09291</v>
      </c>
    </row>
    <row r="409" spans="1:10" x14ac:dyDescent="0.25">
      <c r="A409" s="12" t="s">
        <v>13</v>
      </c>
      <c r="B409" s="14" t="s">
        <v>294</v>
      </c>
      <c r="C409" s="12">
        <v>2021</v>
      </c>
      <c r="D409" s="12">
        <v>0.4</v>
      </c>
      <c r="E409" s="13"/>
      <c r="F409" s="12">
        <v>15</v>
      </c>
      <c r="G409" s="11">
        <f>23559.17/1000</f>
        <v>23.559169999999998</v>
      </c>
    </row>
    <row r="410" spans="1:10" x14ac:dyDescent="0.25">
      <c r="A410" s="12" t="s">
        <v>5</v>
      </c>
      <c r="B410" s="14" t="s">
        <v>293</v>
      </c>
      <c r="C410" s="12">
        <v>2021</v>
      </c>
      <c r="D410" s="12">
        <v>0.4</v>
      </c>
      <c r="E410" s="13"/>
      <c r="F410" s="12">
        <v>15</v>
      </c>
      <c r="G410" s="11">
        <f>23331.25/1000</f>
        <v>23.331250000000001</v>
      </c>
      <c r="I410" s="15"/>
    </row>
    <row r="411" spans="1:10" x14ac:dyDescent="0.25">
      <c r="A411" s="12" t="s">
        <v>5</v>
      </c>
      <c r="B411" s="14" t="s">
        <v>292</v>
      </c>
      <c r="C411" s="12">
        <v>2021</v>
      </c>
      <c r="D411" s="12">
        <v>0.4</v>
      </c>
      <c r="E411" s="13"/>
      <c r="F411" s="12">
        <v>5</v>
      </c>
      <c r="G411" s="11">
        <f>13029.88/1000</f>
        <v>13.029879999999999</v>
      </c>
    </row>
    <row r="412" spans="1:10" x14ac:dyDescent="0.25">
      <c r="A412" s="12" t="s">
        <v>5</v>
      </c>
      <c r="B412" s="14" t="s">
        <v>291</v>
      </c>
      <c r="C412" s="12">
        <v>2021</v>
      </c>
      <c r="D412" s="12">
        <v>0.4</v>
      </c>
      <c r="E412" s="13"/>
      <c r="F412" s="12">
        <v>5</v>
      </c>
      <c r="G412" s="11">
        <f>13075.41/1000</f>
        <v>13.07541</v>
      </c>
    </row>
    <row r="413" spans="1:10" x14ac:dyDescent="0.25">
      <c r="A413" s="12" t="s">
        <v>13</v>
      </c>
      <c r="B413" s="14" t="s">
        <v>290</v>
      </c>
      <c r="C413" s="12">
        <v>2021</v>
      </c>
      <c r="D413" s="12">
        <v>0.4</v>
      </c>
      <c r="E413" s="13"/>
      <c r="F413" s="12">
        <v>15</v>
      </c>
      <c r="G413" s="11">
        <f>23218.75/1000</f>
        <v>23.21875</v>
      </c>
    </row>
    <row r="414" spans="1:10" x14ac:dyDescent="0.25">
      <c r="A414" s="12" t="s">
        <v>5</v>
      </c>
      <c r="B414" s="14" t="s">
        <v>289</v>
      </c>
      <c r="C414" s="12">
        <v>2021</v>
      </c>
      <c r="D414" s="12">
        <v>0.4</v>
      </c>
      <c r="E414" s="13"/>
      <c r="F414" s="12">
        <v>5</v>
      </c>
      <c r="G414" s="11">
        <f>13259.99/1000</f>
        <v>13.25999</v>
      </c>
    </row>
    <row r="415" spans="1:10" x14ac:dyDescent="0.25">
      <c r="A415" s="12" t="s">
        <v>13</v>
      </c>
      <c r="B415" s="14" t="s">
        <v>288</v>
      </c>
      <c r="C415" s="12">
        <v>2021</v>
      </c>
      <c r="D415" s="12">
        <v>0.4</v>
      </c>
      <c r="E415" s="13"/>
      <c r="F415" s="12">
        <v>15</v>
      </c>
      <c r="G415" s="11">
        <f>21174.17/1000</f>
        <v>21.174169999999997</v>
      </c>
    </row>
    <row r="416" spans="1:10" x14ac:dyDescent="0.25">
      <c r="A416" s="12" t="s">
        <v>13</v>
      </c>
      <c r="B416" s="14" t="s">
        <v>287</v>
      </c>
      <c r="C416" s="12">
        <v>2021</v>
      </c>
      <c r="D416" s="12">
        <v>0.4</v>
      </c>
      <c r="E416" s="13"/>
      <c r="F416" s="12">
        <v>15</v>
      </c>
      <c r="G416" s="11">
        <f>23277.08/1000</f>
        <v>23.277080000000002</v>
      </c>
    </row>
    <row r="417" spans="1:7" x14ac:dyDescent="0.25">
      <c r="A417" s="12" t="s">
        <v>13</v>
      </c>
      <c r="B417" s="14" t="s">
        <v>286</v>
      </c>
      <c r="C417" s="12">
        <v>2021</v>
      </c>
      <c r="D417" s="12">
        <v>0.4</v>
      </c>
      <c r="E417" s="13"/>
      <c r="F417" s="12">
        <v>15</v>
      </c>
      <c r="G417" s="11">
        <f>23576.66/1000</f>
        <v>23.57666</v>
      </c>
    </row>
    <row r="418" spans="1:7" x14ac:dyDescent="0.25">
      <c r="A418" s="12" t="s">
        <v>5</v>
      </c>
      <c r="B418" s="14" t="s">
        <v>132</v>
      </c>
      <c r="C418" s="12">
        <v>2021</v>
      </c>
      <c r="D418" s="12">
        <v>0.4</v>
      </c>
      <c r="E418" s="13"/>
      <c r="F418" s="12">
        <v>5</v>
      </c>
      <c r="G418" s="11">
        <f>16339.79/1000</f>
        <v>16.339790000000001</v>
      </c>
    </row>
    <row r="419" spans="1:7" x14ac:dyDescent="0.25">
      <c r="A419" s="12" t="s">
        <v>5</v>
      </c>
      <c r="B419" s="14" t="s">
        <v>285</v>
      </c>
      <c r="C419" s="12">
        <v>2021</v>
      </c>
      <c r="D419" s="12">
        <v>0.4</v>
      </c>
      <c r="E419" s="13"/>
      <c r="F419" s="12">
        <v>5</v>
      </c>
      <c r="G419" s="11">
        <f>12942.51/1000</f>
        <v>12.94251</v>
      </c>
    </row>
    <row r="420" spans="1:7" x14ac:dyDescent="0.25">
      <c r="A420" s="12" t="s">
        <v>13</v>
      </c>
      <c r="B420" s="14" t="s">
        <v>284</v>
      </c>
      <c r="C420" s="12">
        <v>2021</v>
      </c>
      <c r="D420" s="12">
        <v>0.4</v>
      </c>
      <c r="E420" s="13"/>
      <c r="F420" s="12">
        <v>15</v>
      </c>
      <c r="G420" s="11">
        <f>19999.58/1000</f>
        <v>19.999580000000002</v>
      </c>
    </row>
    <row r="421" spans="1:7" x14ac:dyDescent="0.25">
      <c r="A421" s="12" t="s">
        <v>13</v>
      </c>
      <c r="B421" s="14" t="s">
        <v>283</v>
      </c>
      <c r="C421" s="12">
        <v>2021</v>
      </c>
      <c r="D421" s="12">
        <v>0.4</v>
      </c>
      <c r="E421" s="13"/>
      <c r="F421" s="12">
        <v>15</v>
      </c>
      <c r="G421" s="11">
        <f>23366.24/1000</f>
        <v>23.366240000000001</v>
      </c>
    </row>
    <row r="422" spans="1:7" x14ac:dyDescent="0.25">
      <c r="A422" s="12" t="s">
        <v>13</v>
      </c>
      <c r="B422" s="14" t="s">
        <v>282</v>
      </c>
      <c r="C422" s="12">
        <v>2021</v>
      </c>
      <c r="D422" s="12">
        <v>0.4</v>
      </c>
      <c r="E422" s="13"/>
      <c r="F422" s="12">
        <v>14</v>
      </c>
      <c r="G422" s="11">
        <f>21400.84/1000</f>
        <v>21.400839999999999</v>
      </c>
    </row>
    <row r="423" spans="1:7" x14ac:dyDescent="0.25">
      <c r="A423" s="12" t="s">
        <v>13</v>
      </c>
      <c r="B423" s="14" t="s">
        <v>281</v>
      </c>
      <c r="C423" s="12">
        <v>2021</v>
      </c>
      <c r="D423" s="12">
        <v>0.4</v>
      </c>
      <c r="E423" s="13"/>
      <c r="F423" s="12">
        <v>15</v>
      </c>
      <c r="G423" s="11">
        <f>21460.83/1000</f>
        <v>21.460830000000001</v>
      </c>
    </row>
    <row r="424" spans="1:7" x14ac:dyDescent="0.25">
      <c r="A424" s="12" t="s">
        <v>13</v>
      </c>
      <c r="B424" s="14" t="s">
        <v>280</v>
      </c>
      <c r="C424" s="12">
        <v>2021</v>
      </c>
      <c r="D424" s="12">
        <v>0.4</v>
      </c>
      <c r="E424" s="13"/>
      <c r="F424" s="12">
        <v>15</v>
      </c>
      <c r="G424" s="11">
        <v>23.460699999999999</v>
      </c>
    </row>
    <row r="425" spans="1:7" x14ac:dyDescent="0.25">
      <c r="A425" s="12" t="s">
        <v>13</v>
      </c>
      <c r="B425" s="14" t="s">
        <v>279</v>
      </c>
      <c r="C425" s="12">
        <v>2021</v>
      </c>
      <c r="D425" s="12">
        <v>0.4</v>
      </c>
      <c r="E425" s="13"/>
      <c r="F425" s="12">
        <v>15</v>
      </c>
      <c r="G425" s="11">
        <v>13.135400000000001</v>
      </c>
    </row>
    <row r="426" spans="1:7" x14ac:dyDescent="0.25">
      <c r="A426" s="12" t="s">
        <v>5</v>
      </c>
      <c r="B426" s="14" t="s">
        <v>278</v>
      </c>
      <c r="C426" s="12">
        <v>2021</v>
      </c>
      <c r="D426" s="12">
        <v>0.4</v>
      </c>
      <c r="E426" s="13"/>
      <c r="F426" s="12">
        <v>5</v>
      </c>
      <c r="G426" s="11">
        <v>7.3806700000000003</v>
      </c>
    </row>
    <row r="427" spans="1:7" x14ac:dyDescent="0.25">
      <c r="A427" s="12" t="s">
        <v>13</v>
      </c>
      <c r="B427" s="14" t="s">
        <v>277</v>
      </c>
      <c r="C427" s="12">
        <v>2021</v>
      </c>
      <c r="D427" s="12">
        <v>0.4</v>
      </c>
      <c r="E427" s="13"/>
      <c r="F427" s="12">
        <v>15</v>
      </c>
      <c r="G427" s="11">
        <v>26.1264</v>
      </c>
    </row>
    <row r="428" spans="1:7" x14ac:dyDescent="0.25">
      <c r="A428" s="12" t="s">
        <v>5</v>
      </c>
      <c r="B428" s="14" t="s">
        <v>276</v>
      </c>
      <c r="C428" s="12">
        <v>2021</v>
      </c>
      <c r="D428" s="12">
        <v>0.4</v>
      </c>
      <c r="E428" s="13"/>
      <c r="F428" s="12">
        <v>10</v>
      </c>
      <c r="G428" s="11">
        <v>13.1447</v>
      </c>
    </row>
    <row r="429" spans="1:7" x14ac:dyDescent="0.25">
      <c r="A429" s="12" t="s">
        <v>5</v>
      </c>
      <c r="B429" s="14" t="s">
        <v>275</v>
      </c>
      <c r="C429" s="12">
        <v>2021</v>
      </c>
      <c r="D429" s="12">
        <v>0.4</v>
      </c>
      <c r="E429" s="13"/>
      <c r="F429" s="12">
        <v>5</v>
      </c>
      <c r="G429" s="11">
        <v>13.1892</v>
      </c>
    </row>
    <row r="430" spans="1:7" x14ac:dyDescent="0.25">
      <c r="A430" s="12" t="s">
        <v>13</v>
      </c>
      <c r="B430" s="14" t="s">
        <v>274</v>
      </c>
      <c r="C430" s="12">
        <v>2021</v>
      </c>
      <c r="D430" s="12">
        <v>0.4</v>
      </c>
      <c r="E430" s="13"/>
      <c r="F430" s="12">
        <v>15</v>
      </c>
      <c r="G430" s="11">
        <v>23.023700000000002</v>
      </c>
    </row>
    <row r="431" spans="1:7" x14ac:dyDescent="0.25">
      <c r="A431" s="12" t="s">
        <v>5</v>
      </c>
      <c r="B431" s="14" t="s">
        <v>273</v>
      </c>
      <c r="C431" s="12">
        <v>2021</v>
      </c>
      <c r="D431" s="12">
        <v>0.4</v>
      </c>
      <c r="E431" s="13"/>
      <c r="F431" s="12">
        <v>5</v>
      </c>
      <c r="G431" s="11">
        <v>13.032500000000001</v>
      </c>
    </row>
    <row r="432" spans="1:7" x14ac:dyDescent="0.25">
      <c r="A432" s="12" t="s">
        <v>13</v>
      </c>
      <c r="B432" s="14" t="s">
        <v>272</v>
      </c>
      <c r="C432" s="12">
        <v>2021</v>
      </c>
      <c r="D432" s="12">
        <v>0.4</v>
      </c>
      <c r="E432" s="13"/>
      <c r="F432" s="12">
        <v>15</v>
      </c>
      <c r="G432" s="11">
        <v>13.0221</v>
      </c>
    </row>
    <row r="433" spans="1:7" x14ac:dyDescent="0.25">
      <c r="A433" s="12" t="s">
        <v>13</v>
      </c>
      <c r="B433" s="14" t="s">
        <v>271</v>
      </c>
      <c r="C433" s="12">
        <v>2021</v>
      </c>
      <c r="D433" s="12">
        <v>0.4</v>
      </c>
      <c r="E433" s="13"/>
      <c r="F433" s="12">
        <v>15</v>
      </c>
      <c r="G433" s="11">
        <v>23.688600000000001</v>
      </c>
    </row>
    <row r="434" spans="1:7" x14ac:dyDescent="0.25">
      <c r="A434" s="12" t="s">
        <v>13</v>
      </c>
      <c r="B434" s="14" t="s">
        <v>270</v>
      </c>
      <c r="C434" s="12">
        <v>2021</v>
      </c>
      <c r="D434" s="12">
        <v>0.4</v>
      </c>
      <c r="E434" s="13"/>
      <c r="F434" s="12">
        <v>15</v>
      </c>
      <c r="G434" s="11">
        <v>23.443300000000001</v>
      </c>
    </row>
    <row r="435" spans="1:7" x14ac:dyDescent="0.25">
      <c r="A435" s="12" t="s">
        <v>5</v>
      </c>
      <c r="B435" s="14" t="s">
        <v>269</v>
      </c>
      <c r="C435" s="12">
        <v>2021</v>
      </c>
      <c r="D435" s="12">
        <v>0.4</v>
      </c>
      <c r="E435" s="13"/>
      <c r="F435" s="12">
        <v>5</v>
      </c>
      <c r="G435" s="11">
        <v>13.2441</v>
      </c>
    </row>
    <row r="436" spans="1:7" x14ac:dyDescent="0.25">
      <c r="A436" s="12" t="s">
        <v>13</v>
      </c>
      <c r="B436" s="14" t="s">
        <v>268</v>
      </c>
      <c r="C436" s="12">
        <v>2021</v>
      </c>
      <c r="D436" s="12">
        <v>0.4</v>
      </c>
      <c r="E436" s="13"/>
      <c r="F436" s="12">
        <v>15</v>
      </c>
      <c r="G436" s="11">
        <v>23.572099999999999</v>
      </c>
    </row>
    <row r="437" spans="1:7" x14ac:dyDescent="0.25">
      <c r="A437" s="12" t="s">
        <v>5</v>
      </c>
      <c r="B437" s="14" t="s">
        <v>267</v>
      </c>
      <c r="C437" s="12">
        <v>2021</v>
      </c>
      <c r="D437" s="12">
        <v>0.4</v>
      </c>
      <c r="E437" s="13"/>
      <c r="F437" s="12">
        <v>5</v>
      </c>
      <c r="G437" s="11">
        <v>13.117900000000001</v>
      </c>
    </row>
    <row r="438" spans="1:7" x14ac:dyDescent="0.25">
      <c r="A438" s="12" t="s">
        <v>13</v>
      </c>
      <c r="B438" s="14" t="s">
        <v>266</v>
      </c>
      <c r="C438" s="12">
        <v>2021</v>
      </c>
      <c r="D438" s="12">
        <v>0.4</v>
      </c>
      <c r="E438" s="13"/>
      <c r="F438" s="12">
        <v>15</v>
      </c>
      <c r="G438" s="11">
        <v>23.227900000000002</v>
      </c>
    </row>
    <row r="439" spans="1:7" x14ac:dyDescent="0.25">
      <c r="A439" s="12" t="s">
        <v>13</v>
      </c>
      <c r="B439" s="14" t="s">
        <v>265</v>
      </c>
      <c r="C439" s="12">
        <v>2021</v>
      </c>
      <c r="D439" s="12">
        <v>0.4</v>
      </c>
      <c r="E439" s="13"/>
      <c r="F439" s="12">
        <v>15</v>
      </c>
      <c r="G439" s="11">
        <v>23.612500000000001</v>
      </c>
    </row>
    <row r="440" spans="1:7" x14ac:dyDescent="0.25">
      <c r="A440" s="12" t="s">
        <v>5</v>
      </c>
      <c r="B440" s="14" t="s">
        <v>264</v>
      </c>
      <c r="C440" s="12">
        <v>2021</v>
      </c>
      <c r="D440" s="12">
        <v>0.4</v>
      </c>
      <c r="E440" s="13"/>
      <c r="F440" s="12">
        <v>7</v>
      </c>
      <c r="G440" s="11">
        <v>13.152900000000001</v>
      </c>
    </row>
    <row r="441" spans="1:7" x14ac:dyDescent="0.25">
      <c r="A441" s="12" t="s">
        <v>13</v>
      </c>
      <c r="B441" s="14" t="s">
        <v>263</v>
      </c>
      <c r="C441" s="12">
        <v>2021</v>
      </c>
      <c r="D441" s="12">
        <v>0.4</v>
      </c>
      <c r="E441" s="13"/>
      <c r="F441" s="12">
        <v>15</v>
      </c>
      <c r="G441" s="11">
        <v>23.3095</v>
      </c>
    </row>
    <row r="442" spans="1:7" x14ac:dyDescent="0.25">
      <c r="A442" s="12" t="s">
        <v>13</v>
      </c>
      <c r="B442" s="14" t="s">
        <v>262</v>
      </c>
      <c r="C442" s="12">
        <v>2021</v>
      </c>
      <c r="D442" s="12">
        <v>0.4</v>
      </c>
      <c r="E442" s="13"/>
      <c r="F442" s="12">
        <v>15</v>
      </c>
      <c r="G442" s="11">
        <v>23.222100000000001</v>
      </c>
    </row>
    <row r="443" spans="1:7" x14ac:dyDescent="0.25">
      <c r="A443" s="12" t="s">
        <v>5</v>
      </c>
      <c r="B443" s="14" t="s">
        <v>261</v>
      </c>
      <c r="C443" s="12">
        <v>2021</v>
      </c>
      <c r="D443" s="12">
        <v>0.4</v>
      </c>
      <c r="E443" s="13"/>
      <c r="F443" s="12">
        <v>5</v>
      </c>
      <c r="G443" s="11">
        <v>13.3332</v>
      </c>
    </row>
    <row r="444" spans="1:7" x14ac:dyDescent="0.25">
      <c r="A444" s="12" t="s">
        <v>13</v>
      </c>
      <c r="B444" s="14" t="s">
        <v>260</v>
      </c>
      <c r="C444" s="12">
        <v>2021</v>
      </c>
      <c r="D444" s="12">
        <v>0.4</v>
      </c>
      <c r="E444" s="13"/>
      <c r="F444" s="12">
        <v>5</v>
      </c>
      <c r="G444" s="11">
        <v>13.171200000000001</v>
      </c>
    </row>
    <row r="445" spans="1:7" x14ac:dyDescent="0.25">
      <c r="A445" s="12" t="s">
        <v>13</v>
      </c>
      <c r="B445" s="14" t="s">
        <v>259</v>
      </c>
      <c r="C445" s="12">
        <v>2021</v>
      </c>
      <c r="D445" s="12">
        <v>0.4</v>
      </c>
      <c r="E445" s="13"/>
      <c r="F445" s="12">
        <v>15</v>
      </c>
      <c r="G445" s="11">
        <v>24.479600000000001</v>
      </c>
    </row>
    <row r="446" spans="1:7" x14ac:dyDescent="0.25">
      <c r="A446" s="12" t="s">
        <v>13</v>
      </c>
      <c r="B446" s="14" t="s">
        <v>258</v>
      </c>
      <c r="C446" s="12">
        <v>2021</v>
      </c>
      <c r="D446" s="12">
        <v>0.4</v>
      </c>
      <c r="E446" s="13"/>
      <c r="F446" s="12">
        <v>15</v>
      </c>
      <c r="G446" s="11">
        <v>23.3095</v>
      </c>
    </row>
    <row r="447" spans="1:7" x14ac:dyDescent="0.25">
      <c r="A447" s="12" t="s">
        <v>13</v>
      </c>
      <c r="B447" s="14" t="s">
        <v>257</v>
      </c>
      <c r="C447" s="12">
        <v>2021</v>
      </c>
      <c r="D447" s="12">
        <v>0.4</v>
      </c>
      <c r="E447" s="13"/>
      <c r="F447" s="12">
        <v>15</v>
      </c>
      <c r="G447" s="11">
        <v>23.6511</v>
      </c>
    </row>
    <row r="448" spans="1:7" x14ac:dyDescent="0.25">
      <c r="A448" s="12" t="s">
        <v>5</v>
      </c>
      <c r="B448" s="14" t="s">
        <v>256</v>
      </c>
      <c r="C448" s="12">
        <v>2021</v>
      </c>
      <c r="D448" s="12">
        <v>0.4</v>
      </c>
      <c r="E448" s="13"/>
      <c r="F448" s="12">
        <v>5</v>
      </c>
      <c r="G448" s="11">
        <v>13.167899999999999</v>
      </c>
    </row>
    <row r="449" spans="1:7" x14ac:dyDescent="0.25">
      <c r="A449" s="12" t="s">
        <v>13</v>
      </c>
      <c r="B449" s="14" t="s">
        <v>255</v>
      </c>
      <c r="C449" s="12">
        <v>2021</v>
      </c>
      <c r="D449" s="12">
        <v>0.4</v>
      </c>
      <c r="E449" s="13"/>
      <c r="F449" s="12">
        <v>15</v>
      </c>
      <c r="G449" s="11">
        <v>13.196199999999999</v>
      </c>
    </row>
    <row r="450" spans="1:7" x14ac:dyDescent="0.25">
      <c r="A450" s="12" t="s">
        <v>13</v>
      </c>
      <c r="B450" s="14" t="s">
        <v>254</v>
      </c>
      <c r="C450" s="12">
        <v>2021</v>
      </c>
      <c r="D450" s="12">
        <v>0.4</v>
      </c>
      <c r="E450" s="13"/>
      <c r="F450" s="12">
        <v>15</v>
      </c>
      <c r="G450" s="11">
        <v>23.367899999999999</v>
      </c>
    </row>
    <row r="451" spans="1:7" x14ac:dyDescent="0.25">
      <c r="A451" s="12" t="s">
        <v>5</v>
      </c>
      <c r="B451" s="14" t="s">
        <v>253</v>
      </c>
      <c r="C451" s="12">
        <v>2021</v>
      </c>
      <c r="D451" s="12">
        <v>0.4</v>
      </c>
      <c r="E451" s="13"/>
      <c r="F451" s="12">
        <v>5</v>
      </c>
      <c r="G451" s="11">
        <v>12.561299999999999</v>
      </c>
    </row>
    <row r="452" spans="1:7" x14ac:dyDescent="0.25">
      <c r="A452" s="12" t="s">
        <v>13</v>
      </c>
      <c r="B452" s="14" t="s">
        <v>252</v>
      </c>
      <c r="C452" s="12">
        <v>2021</v>
      </c>
      <c r="D452" s="12">
        <v>0.4</v>
      </c>
      <c r="E452" s="13"/>
      <c r="F452" s="12">
        <v>15</v>
      </c>
      <c r="G452" s="11">
        <v>22.242899999999999</v>
      </c>
    </row>
    <row r="453" spans="1:7" x14ac:dyDescent="0.25">
      <c r="A453" s="12" t="s">
        <v>13</v>
      </c>
      <c r="B453" s="14" t="s">
        <v>251</v>
      </c>
      <c r="C453" s="12">
        <v>2021</v>
      </c>
      <c r="D453" s="12">
        <v>0.4</v>
      </c>
      <c r="E453" s="13"/>
      <c r="F453" s="12">
        <v>15</v>
      </c>
      <c r="G453" s="11">
        <v>23.5779</v>
      </c>
    </row>
    <row r="454" spans="1:7" x14ac:dyDescent="0.25">
      <c r="A454" s="12" t="s">
        <v>13</v>
      </c>
      <c r="B454" s="14" t="s">
        <v>250</v>
      </c>
      <c r="C454" s="12">
        <v>2021</v>
      </c>
      <c r="D454" s="12">
        <v>0.4</v>
      </c>
      <c r="E454" s="13"/>
      <c r="F454" s="12">
        <v>15</v>
      </c>
      <c r="G454" s="11">
        <v>23.3337</v>
      </c>
    </row>
    <row r="455" spans="1:7" x14ac:dyDescent="0.25">
      <c r="A455" s="12" t="s">
        <v>13</v>
      </c>
      <c r="B455" s="14" t="s">
        <v>249</v>
      </c>
      <c r="C455" s="12">
        <v>2021</v>
      </c>
      <c r="D455" s="12">
        <v>0.4</v>
      </c>
      <c r="E455" s="13"/>
      <c r="F455" s="12">
        <v>15</v>
      </c>
      <c r="G455" s="11">
        <v>23.1663</v>
      </c>
    </row>
    <row r="456" spans="1:7" x14ac:dyDescent="0.25">
      <c r="A456" s="12" t="s">
        <v>13</v>
      </c>
      <c r="B456" s="14" t="s">
        <v>248</v>
      </c>
      <c r="C456" s="12">
        <v>2021</v>
      </c>
      <c r="D456" s="12">
        <v>0.4</v>
      </c>
      <c r="E456" s="13"/>
      <c r="F456" s="12">
        <v>15</v>
      </c>
      <c r="G456" s="11">
        <v>23.3688</v>
      </c>
    </row>
    <row r="457" spans="1:7" x14ac:dyDescent="0.25">
      <c r="A457" s="12" t="s">
        <v>5</v>
      </c>
      <c r="B457" s="14" t="s">
        <v>247</v>
      </c>
      <c r="C457" s="12">
        <v>2021</v>
      </c>
      <c r="D457" s="12">
        <v>0.4</v>
      </c>
      <c r="E457" s="13"/>
      <c r="F457" s="12">
        <v>5</v>
      </c>
      <c r="G457" s="11">
        <v>13.2662</v>
      </c>
    </row>
    <row r="458" spans="1:7" x14ac:dyDescent="0.25">
      <c r="A458" s="12" t="s">
        <v>5</v>
      </c>
      <c r="B458" s="14" t="s">
        <v>246</v>
      </c>
      <c r="C458" s="12">
        <v>2021</v>
      </c>
      <c r="D458" s="12">
        <v>0.4</v>
      </c>
      <c r="E458" s="13"/>
      <c r="F458" s="12">
        <v>5</v>
      </c>
      <c r="G458" s="11">
        <v>12.892099999999999</v>
      </c>
    </row>
    <row r="459" spans="1:7" x14ac:dyDescent="0.25">
      <c r="A459" s="12" t="s">
        <v>13</v>
      </c>
      <c r="B459" s="14" t="s">
        <v>245</v>
      </c>
      <c r="C459" s="12">
        <v>2021</v>
      </c>
      <c r="D459" s="12">
        <v>0.4</v>
      </c>
      <c r="E459" s="13"/>
      <c r="F459" s="12">
        <v>15</v>
      </c>
      <c r="G459" s="11">
        <v>23.404599999999999</v>
      </c>
    </row>
    <row r="460" spans="1:7" x14ac:dyDescent="0.25">
      <c r="A460" s="12" t="s">
        <v>13</v>
      </c>
      <c r="B460" s="14" t="s">
        <v>244</v>
      </c>
      <c r="C460" s="12">
        <v>2021</v>
      </c>
      <c r="D460" s="12">
        <v>0.4</v>
      </c>
      <c r="E460" s="13"/>
      <c r="F460" s="12">
        <v>15</v>
      </c>
      <c r="G460" s="11">
        <v>23.436499999999999</v>
      </c>
    </row>
    <row r="461" spans="1:7" x14ac:dyDescent="0.25">
      <c r="A461" s="12" t="s">
        <v>13</v>
      </c>
      <c r="B461" s="14" t="s">
        <v>243</v>
      </c>
      <c r="C461" s="12">
        <v>2021</v>
      </c>
      <c r="D461" s="12">
        <v>0.4</v>
      </c>
      <c r="E461" s="13"/>
      <c r="F461" s="12">
        <v>15</v>
      </c>
      <c r="G461" s="11">
        <v>23.614599999999999</v>
      </c>
    </row>
    <row r="462" spans="1:7" x14ac:dyDescent="0.25">
      <c r="A462" s="12" t="s">
        <v>13</v>
      </c>
      <c r="B462" s="14" t="s">
        <v>242</v>
      </c>
      <c r="C462" s="12">
        <v>2021</v>
      </c>
      <c r="D462" s="12">
        <v>0.4</v>
      </c>
      <c r="E462" s="13"/>
      <c r="F462" s="12">
        <v>15</v>
      </c>
      <c r="G462" s="11">
        <v>23.116199999999999</v>
      </c>
    </row>
    <row r="463" spans="1:7" x14ac:dyDescent="0.25">
      <c r="A463" s="12" t="s">
        <v>13</v>
      </c>
      <c r="B463" s="14" t="s">
        <v>241</v>
      </c>
      <c r="C463" s="12">
        <v>2021</v>
      </c>
      <c r="D463" s="12">
        <v>0.4</v>
      </c>
      <c r="E463" s="13"/>
      <c r="F463" s="12">
        <v>15</v>
      </c>
      <c r="G463" s="11">
        <v>23.3062</v>
      </c>
    </row>
    <row r="464" spans="1:7" x14ac:dyDescent="0.25">
      <c r="A464" s="12" t="s">
        <v>13</v>
      </c>
      <c r="B464" s="14" t="s">
        <v>240</v>
      </c>
      <c r="C464" s="12">
        <v>2021</v>
      </c>
      <c r="D464" s="12">
        <v>0.4</v>
      </c>
      <c r="E464" s="13"/>
      <c r="F464" s="12">
        <v>15</v>
      </c>
      <c r="G464" s="11">
        <v>23.5779</v>
      </c>
    </row>
    <row r="465" spans="1:7" x14ac:dyDescent="0.25">
      <c r="A465" s="12" t="s">
        <v>5</v>
      </c>
      <c r="B465" s="14" t="s">
        <v>239</v>
      </c>
      <c r="C465" s="12">
        <v>2021</v>
      </c>
      <c r="D465" s="12">
        <v>0.4</v>
      </c>
      <c r="E465" s="13"/>
      <c r="F465" s="12">
        <v>5</v>
      </c>
      <c r="G465" s="11">
        <v>13.402100000000001</v>
      </c>
    </row>
    <row r="466" spans="1:7" x14ac:dyDescent="0.25">
      <c r="A466" s="12" t="s">
        <v>13</v>
      </c>
      <c r="B466" s="14" t="s">
        <v>238</v>
      </c>
      <c r="C466" s="12">
        <v>2021</v>
      </c>
      <c r="D466" s="12">
        <v>0.4</v>
      </c>
      <c r="E466" s="13"/>
      <c r="F466" s="12">
        <v>15</v>
      </c>
      <c r="G466" s="11">
        <v>23.312799999999999</v>
      </c>
    </row>
    <row r="467" spans="1:7" x14ac:dyDescent="0.25">
      <c r="A467" s="12" t="s">
        <v>5</v>
      </c>
      <c r="B467" s="14" t="s">
        <v>237</v>
      </c>
      <c r="C467" s="12">
        <v>2021</v>
      </c>
      <c r="D467" s="12">
        <v>0.4</v>
      </c>
      <c r="E467" s="13"/>
      <c r="F467" s="12">
        <v>5</v>
      </c>
      <c r="G467" s="11">
        <v>13.42</v>
      </c>
    </row>
    <row r="468" spans="1:7" x14ac:dyDescent="0.25">
      <c r="A468" s="12" t="s">
        <v>13</v>
      </c>
      <c r="B468" s="14" t="s">
        <v>236</v>
      </c>
      <c r="C468" s="12">
        <v>2021</v>
      </c>
      <c r="D468" s="12">
        <v>0.4</v>
      </c>
      <c r="E468" s="13"/>
      <c r="F468" s="12">
        <v>15</v>
      </c>
      <c r="G468" s="11">
        <v>23.376300000000001</v>
      </c>
    </row>
    <row r="469" spans="1:7" x14ac:dyDescent="0.25">
      <c r="A469" s="12" t="s">
        <v>13</v>
      </c>
      <c r="B469" s="14" t="s">
        <v>235</v>
      </c>
      <c r="C469" s="12">
        <v>2021</v>
      </c>
      <c r="D469" s="12">
        <v>0.4</v>
      </c>
      <c r="E469" s="13"/>
      <c r="F469" s="12">
        <v>15</v>
      </c>
      <c r="G469" s="11">
        <v>28.134899999999998</v>
      </c>
    </row>
    <row r="470" spans="1:7" x14ac:dyDescent="0.25">
      <c r="A470" s="12" t="s">
        <v>5</v>
      </c>
      <c r="B470" s="14" t="s">
        <v>234</v>
      </c>
      <c r="C470" s="12">
        <v>2021</v>
      </c>
      <c r="D470" s="12">
        <v>0.4</v>
      </c>
      <c r="E470" s="13"/>
      <c r="F470" s="12">
        <v>5</v>
      </c>
      <c r="G470" s="11">
        <v>22.217199999999998</v>
      </c>
    </row>
    <row r="471" spans="1:7" x14ac:dyDescent="0.25">
      <c r="A471" s="12" t="s">
        <v>13</v>
      </c>
      <c r="B471" s="14" t="s">
        <v>233</v>
      </c>
      <c r="C471" s="12">
        <v>2021</v>
      </c>
      <c r="D471" s="12">
        <v>0.4</v>
      </c>
      <c r="E471" s="13"/>
      <c r="F471" s="12">
        <v>15</v>
      </c>
      <c r="G471" s="11">
        <v>22.217199999999998</v>
      </c>
    </row>
    <row r="472" spans="1:7" x14ac:dyDescent="0.25">
      <c r="A472" s="12" t="s">
        <v>13</v>
      </c>
      <c r="B472" s="14" t="s">
        <v>232</v>
      </c>
      <c r="C472" s="12">
        <v>2021</v>
      </c>
      <c r="D472" s="12">
        <v>0.4</v>
      </c>
      <c r="E472" s="13"/>
      <c r="F472" s="12">
        <v>15</v>
      </c>
      <c r="G472" s="11">
        <v>22.135100000000001</v>
      </c>
    </row>
    <row r="473" spans="1:7" x14ac:dyDescent="0.25">
      <c r="A473" s="12" t="s">
        <v>13</v>
      </c>
      <c r="B473" s="14" t="s">
        <v>231</v>
      </c>
      <c r="C473" s="12">
        <v>2021</v>
      </c>
      <c r="D473" s="12">
        <v>0.4</v>
      </c>
      <c r="E473" s="13"/>
      <c r="F473" s="12">
        <v>15</v>
      </c>
      <c r="G473" s="11">
        <v>23.707799999999999</v>
      </c>
    </row>
    <row r="474" spans="1:7" x14ac:dyDescent="0.25">
      <c r="A474" s="12" t="s">
        <v>5</v>
      </c>
      <c r="B474" s="14" t="s">
        <v>230</v>
      </c>
      <c r="C474" s="12">
        <v>2021</v>
      </c>
      <c r="D474" s="12">
        <v>0.4</v>
      </c>
      <c r="E474" s="13"/>
      <c r="F474" s="12">
        <v>5</v>
      </c>
      <c r="G474" s="11">
        <v>13.9811</v>
      </c>
    </row>
    <row r="475" spans="1:7" x14ac:dyDescent="0.25">
      <c r="A475" s="12" t="s">
        <v>13</v>
      </c>
      <c r="B475" s="14" t="s">
        <v>229</v>
      </c>
      <c r="C475" s="12">
        <v>2021</v>
      </c>
      <c r="D475" s="12">
        <v>0.4</v>
      </c>
      <c r="E475" s="13"/>
      <c r="F475" s="12">
        <v>15</v>
      </c>
      <c r="G475" s="11">
        <v>27.853999999999999</v>
      </c>
    </row>
    <row r="476" spans="1:7" x14ac:dyDescent="0.25">
      <c r="A476" s="12" t="s">
        <v>13</v>
      </c>
      <c r="B476" s="14" t="s">
        <v>228</v>
      </c>
      <c r="C476" s="12">
        <v>2021</v>
      </c>
      <c r="D476" s="12">
        <v>0.4</v>
      </c>
      <c r="E476" s="13"/>
      <c r="F476" s="12">
        <v>15</v>
      </c>
      <c r="G476" s="11">
        <v>23.4038</v>
      </c>
    </row>
    <row r="477" spans="1:7" x14ac:dyDescent="0.25">
      <c r="A477" s="12" t="s">
        <v>5</v>
      </c>
      <c r="B477" s="14" t="s">
        <v>227</v>
      </c>
      <c r="C477" s="12">
        <v>2021</v>
      </c>
      <c r="D477" s="12">
        <v>0.4</v>
      </c>
      <c r="E477" s="13"/>
      <c r="F477" s="12">
        <v>5</v>
      </c>
      <c r="G477" s="11">
        <v>14.037100000000001</v>
      </c>
    </row>
    <row r="478" spans="1:7" x14ac:dyDescent="0.25">
      <c r="A478" s="12" t="s">
        <v>13</v>
      </c>
      <c r="B478" s="14" t="s">
        <v>226</v>
      </c>
      <c r="C478" s="12">
        <v>2021</v>
      </c>
      <c r="D478" s="12">
        <v>0.4</v>
      </c>
      <c r="E478" s="13"/>
      <c r="F478" s="12">
        <v>15</v>
      </c>
      <c r="G478" s="11">
        <v>23.362100000000002</v>
      </c>
    </row>
    <row r="479" spans="1:7" x14ac:dyDescent="0.25">
      <c r="A479" s="12" t="s">
        <v>13</v>
      </c>
      <c r="B479" s="14" t="s">
        <v>225</v>
      </c>
      <c r="C479" s="12">
        <v>2021</v>
      </c>
      <c r="D479" s="12">
        <v>0.4</v>
      </c>
      <c r="E479" s="13"/>
      <c r="F479" s="12">
        <v>15</v>
      </c>
      <c r="G479" s="11">
        <v>23.473800000000001</v>
      </c>
    </row>
    <row r="480" spans="1:7" x14ac:dyDescent="0.25">
      <c r="A480" s="12" t="s">
        <v>13</v>
      </c>
      <c r="B480" s="14" t="s">
        <v>224</v>
      </c>
      <c r="C480" s="12">
        <v>2021</v>
      </c>
      <c r="D480" s="12">
        <v>0.4</v>
      </c>
      <c r="E480" s="13"/>
      <c r="F480" s="12">
        <v>15</v>
      </c>
      <c r="G480" s="11">
        <v>23.2362</v>
      </c>
    </row>
    <row r="481" spans="1:7" x14ac:dyDescent="0.25">
      <c r="A481" s="12" t="s">
        <v>5</v>
      </c>
      <c r="B481" s="14" t="s">
        <v>223</v>
      </c>
      <c r="C481" s="12">
        <v>2021</v>
      </c>
      <c r="D481" s="12">
        <v>0.4</v>
      </c>
      <c r="E481" s="13"/>
      <c r="F481" s="12">
        <v>5</v>
      </c>
      <c r="G481" s="11">
        <v>13.7379</v>
      </c>
    </row>
    <row r="482" spans="1:7" x14ac:dyDescent="0.25">
      <c r="A482" s="12" t="s">
        <v>13</v>
      </c>
      <c r="B482" s="14" t="s">
        <v>222</v>
      </c>
      <c r="C482" s="12">
        <v>2021</v>
      </c>
      <c r="D482" s="12">
        <v>0.4</v>
      </c>
      <c r="E482" s="13"/>
      <c r="F482" s="12">
        <v>15</v>
      </c>
      <c r="G482" s="11">
        <v>25.389600000000002</v>
      </c>
    </row>
    <row r="483" spans="1:7" x14ac:dyDescent="0.25">
      <c r="A483" s="12" t="s">
        <v>5</v>
      </c>
      <c r="B483" s="14" t="s">
        <v>221</v>
      </c>
      <c r="C483" s="12">
        <v>2021</v>
      </c>
      <c r="D483" s="12">
        <v>0.4</v>
      </c>
      <c r="E483" s="13"/>
      <c r="F483" s="12">
        <v>5</v>
      </c>
      <c r="G483" s="11">
        <v>13.143800000000001</v>
      </c>
    </row>
    <row r="484" spans="1:7" x14ac:dyDescent="0.25">
      <c r="A484" s="12" t="s">
        <v>13</v>
      </c>
      <c r="B484" s="14" t="s">
        <v>220</v>
      </c>
      <c r="C484" s="12">
        <v>2021</v>
      </c>
      <c r="D484" s="12">
        <v>0.4</v>
      </c>
      <c r="E484" s="13"/>
      <c r="F484" s="12">
        <v>15</v>
      </c>
      <c r="G484" s="11">
        <v>24.7563</v>
      </c>
    </row>
    <row r="485" spans="1:7" x14ac:dyDescent="0.25">
      <c r="A485" s="12" t="s">
        <v>13</v>
      </c>
      <c r="B485" s="14" t="s">
        <v>219</v>
      </c>
      <c r="C485" s="12">
        <v>2021</v>
      </c>
      <c r="D485" s="12">
        <v>0.4</v>
      </c>
      <c r="E485" s="13"/>
      <c r="F485" s="12">
        <v>15</v>
      </c>
      <c r="G485" s="11">
        <v>25.1404</v>
      </c>
    </row>
    <row r="486" spans="1:7" x14ac:dyDescent="0.25">
      <c r="A486" s="12" t="s">
        <v>13</v>
      </c>
      <c r="B486" s="14" t="s">
        <v>218</v>
      </c>
      <c r="C486" s="12">
        <v>2021</v>
      </c>
      <c r="D486" s="12">
        <v>0.4</v>
      </c>
      <c r="E486" s="13"/>
      <c r="F486" s="12">
        <v>15</v>
      </c>
      <c r="G486" s="11">
        <v>23.473700000000001</v>
      </c>
    </row>
    <row r="487" spans="1:7" x14ac:dyDescent="0.25">
      <c r="A487" s="12" t="s">
        <v>13</v>
      </c>
      <c r="B487" s="14" t="s">
        <v>217</v>
      </c>
      <c r="C487" s="12">
        <v>2021</v>
      </c>
      <c r="D487" s="12">
        <v>0.4</v>
      </c>
      <c r="E487" s="13"/>
      <c r="F487" s="12">
        <v>15</v>
      </c>
      <c r="G487" s="11">
        <v>21.6496</v>
      </c>
    </row>
    <row r="488" spans="1:7" x14ac:dyDescent="0.25">
      <c r="A488" s="12" t="s">
        <v>13</v>
      </c>
      <c r="B488" s="14" t="s">
        <v>138</v>
      </c>
      <c r="C488" s="12">
        <v>2021</v>
      </c>
      <c r="D488" s="12">
        <v>0.4</v>
      </c>
      <c r="E488" s="13"/>
      <c r="F488" s="12">
        <v>15</v>
      </c>
      <c r="G488" s="11">
        <v>23.630400000000002</v>
      </c>
    </row>
    <row r="489" spans="1:7" x14ac:dyDescent="0.25">
      <c r="A489" s="12" t="s">
        <v>13</v>
      </c>
      <c r="B489" s="14" t="s">
        <v>216</v>
      </c>
      <c r="C489" s="12">
        <v>2021</v>
      </c>
      <c r="D489" s="12">
        <v>0.4</v>
      </c>
      <c r="E489" s="13"/>
      <c r="F489" s="12">
        <v>15</v>
      </c>
      <c r="G489" s="11">
        <v>24.434200000000001</v>
      </c>
    </row>
    <row r="490" spans="1:7" x14ac:dyDescent="0.25">
      <c r="A490" s="12" t="s">
        <v>13</v>
      </c>
      <c r="B490" s="14" t="s">
        <v>215</v>
      </c>
      <c r="C490" s="12">
        <v>2021</v>
      </c>
      <c r="D490" s="12">
        <v>0.4</v>
      </c>
      <c r="E490" s="13"/>
      <c r="F490" s="12">
        <v>15</v>
      </c>
      <c r="G490" s="11">
        <v>23.121700000000001</v>
      </c>
    </row>
    <row r="491" spans="1:7" x14ac:dyDescent="0.25">
      <c r="A491" s="12" t="s">
        <v>13</v>
      </c>
      <c r="B491" s="14" t="s">
        <v>214</v>
      </c>
      <c r="C491" s="12">
        <v>2021</v>
      </c>
      <c r="D491" s="12">
        <v>0.4</v>
      </c>
      <c r="E491" s="13"/>
      <c r="F491" s="12">
        <v>15</v>
      </c>
      <c r="G491" s="11">
        <v>25.465</v>
      </c>
    </row>
    <row r="492" spans="1:7" x14ac:dyDescent="0.25">
      <c r="A492" s="12" t="s">
        <v>13</v>
      </c>
      <c r="B492" s="14" t="s">
        <v>213</v>
      </c>
      <c r="C492" s="12">
        <v>2021</v>
      </c>
      <c r="D492" s="12">
        <v>0.4</v>
      </c>
      <c r="E492" s="13"/>
      <c r="F492" s="12">
        <v>15</v>
      </c>
      <c r="G492" s="11">
        <v>24.256699999999999</v>
      </c>
    </row>
    <row r="493" spans="1:7" x14ac:dyDescent="0.25">
      <c r="A493" s="12" t="s">
        <v>13</v>
      </c>
      <c r="B493" s="14" t="s">
        <v>212</v>
      </c>
      <c r="C493" s="12">
        <v>2021</v>
      </c>
      <c r="D493" s="12">
        <v>0.4</v>
      </c>
      <c r="E493" s="13"/>
      <c r="F493" s="12">
        <v>15</v>
      </c>
      <c r="G493" s="11">
        <v>24.425000000000001</v>
      </c>
    </row>
    <row r="494" spans="1:7" x14ac:dyDescent="0.25">
      <c r="A494" s="12" t="s">
        <v>13</v>
      </c>
      <c r="B494" s="14" t="s">
        <v>211</v>
      </c>
      <c r="C494" s="12">
        <v>2021</v>
      </c>
      <c r="D494" s="12">
        <v>0.4</v>
      </c>
      <c r="E494" s="13"/>
      <c r="F494" s="12">
        <v>15</v>
      </c>
      <c r="G494" s="11">
        <v>25.333200000000001</v>
      </c>
    </row>
    <row r="495" spans="1:7" x14ac:dyDescent="0.25">
      <c r="A495" s="12" t="s">
        <v>13</v>
      </c>
      <c r="B495" s="14" t="s">
        <v>210</v>
      </c>
      <c r="C495" s="12">
        <v>2021</v>
      </c>
      <c r="D495" s="12">
        <v>0.4</v>
      </c>
      <c r="E495" s="13"/>
      <c r="F495" s="12">
        <v>15</v>
      </c>
      <c r="G495" s="11">
        <v>25.2134</v>
      </c>
    </row>
    <row r="496" spans="1:7" x14ac:dyDescent="0.25">
      <c r="A496" s="12" t="s">
        <v>13</v>
      </c>
      <c r="B496" s="14" t="s">
        <v>209</v>
      </c>
      <c r="C496" s="12">
        <v>2021</v>
      </c>
      <c r="D496" s="12">
        <v>0.4</v>
      </c>
      <c r="E496" s="13"/>
      <c r="F496" s="12">
        <v>15</v>
      </c>
      <c r="G496" s="11">
        <v>25.324999999999999</v>
      </c>
    </row>
    <row r="497" spans="1:7" x14ac:dyDescent="0.25">
      <c r="A497" s="12" t="s">
        <v>5</v>
      </c>
      <c r="B497" s="14" t="s">
        <v>208</v>
      </c>
      <c r="C497" s="12">
        <v>2021</v>
      </c>
      <c r="D497" s="12">
        <v>0.4</v>
      </c>
      <c r="E497" s="13"/>
      <c r="F497" s="12">
        <v>5</v>
      </c>
      <c r="G497" s="11">
        <v>13.985300000000001</v>
      </c>
    </row>
    <row r="498" spans="1:7" x14ac:dyDescent="0.25">
      <c r="A498" s="12" t="s">
        <v>5</v>
      </c>
      <c r="B498" s="14" t="s">
        <v>207</v>
      </c>
      <c r="C498" s="12">
        <v>2021</v>
      </c>
      <c r="D498" s="12">
        <v>0.4</v>
      </c>
      <c r="E498" s="13"/>
      <c r="F498" s="12">
        <v>5</v>
      </c>
      <c r="G498" s="11">
        <v>0.76856999999999998</v>
      </c>
    </row>
    <row r="499" spans="1:7" x14ac:dyDescent="0.25">
      <c r="A499" s="12" t="s">
        <v>5</v>
      </c>
      <c r="B499" s="14" t="s">
        <v>206</v>
      </c>
      <c r="C499" s="12">
        <v>2021</v>
      </c>
      <c r="D499" s="12">
        <v>0.4</v>
      </c>
      <c r="E499" s="13"/>
      <c r="F499" s="12">
        <v>5</v>
      </c>
      <c r="G499" s="11">
        <v>13.0937</v>
      </c>
    </row>
    <row r="500" spans="1:7" x14ac:dyDescent="0.25">
      <c r="A500" s="12" t="s">
        <v>5</v>
      </c>
      <c r="B500" s="14" t="s">
        <v>205</v>
      </c>
      <c r="C500" s="12">
        <v>2021</v>
      </c>
      <c r="D500" s="12">
        <v>0.4</v>
      </c>
      <c r="E500" s="13"/>
      <c r="F500" s="12">
        <v>5</v>
      </c>
      <c r="G500" s="11">
        <v>13.587</v>
      </c>
    </row>
    <row r="501" spans="1:7" x14ac:dyDescent="0.25">
      <c r="A501" s="12" t="s">
        <v>13</v>
      </c>
      <c r="B501" s="14" t="s">
        <v>204</v>
      </c>
      <c r="C501" s="12">
        <v>2021</v>
      </c>
      <c r="D501" s="12">
        <v>0.4</v>
      </c>
      <c r="E501" s="13"/>
      <c r="F501" s="12">
        <v>15</v>
      </c>
      <c r="G501" s="11">
        <v>25.327500000000001</v>
      </c>
    </row>
    <row r="502" spans="1:7" x14ac:dyDescent="0.25">
      <c r="A502" s="12" t="s">
        <v>5</v>
      </c>
      <c r="B502" s="14" t="s">
        <v>203</v>
      </c>
      <c r="C502" s="12">
        <v>2021</v>
      </c>
      <c r="D502" s="12">
        <v>0.4</v>
      </c>
      <c r="E502" s="13"/>
      <c r="F502" s="12">
        <v>5</v>
      </c>
      <c r="G502" s="11">
        <v>14.069699999999999</v>
      </c>
    </row>
    <row r="503" spans="1:7" x14ac:dyDescent="0.25">
      <c r="A503" s="12" t="s">
        <v>5</v>
      </c>
      <c r="B503" s="14" t="s">
        <v>202</v>
      </c>
      <c r="C503" s="12">
        <v>2021</v>
      </c>
      <c r="D503" s="12">
        <v>0.4</v>
      </c>
      <c r="E503" s="13"/>
      <c r="F503" s="12">
        <v>5</v>
      </c>
      <c r="G503" s="11">
        <v>14.3728</v>
      </c>
    </row>
    <row r="504" spans="1:7" x14ac:dyDescent="0.25">
      <c r="A504" s="12" t="s">
        <v>13</v>
      </c>
      <c r="B504" s="14" t="s">
        <v>201</v>
      </c>
      <c r="C504" s="12">
        <v>2021</v>
      </c>
      <c r="D504" s="12">
        <v>0.4</v>
      </c>
      <c r="E504" s="13"/>
      <c r="F504" s="12">
        <v>15</v>
      </c>
      <c r="G504" s="11">
        <v>24.175000000000001</v>
      </c>
    </row>
    <row r="505" spans="1:7" x14ac:dyDescent="0.25">
      <c r="A505" s="12" t="s">
        <v>5</v>
      </c>
      <c r="B505" s="14" t="s">
        <v>200</v>
      </c>
      <c r="C505" s="12">
        <v>2021</v>
      </c>
      <c r="D505" s="12">
        <v>0.4</v>
      </c>
      <c r="E505" s="13"/>
      <c r="F505" s="12">
        <v>5</v>
      </c>
      <c r="G505" s="11">
        <v>13.937200000000001</v>
      </c>
    </row>
    <row r="506" spans="1:7" x14ac:dyDescent="0.25">
      <c r="A506" s="12" t="s">
        <v>13</v>
      </c>
      <c r="B506" s="14" t="s">
        <v>199</v>
      </c>
      <c r="C506" s="12">
        <v>2021</v>
      </c>
      <c r="D506" s="12">
        <v>0.4</v>
      </c>
      <c r="E506" s="13"/>
      <c r="F506" s="12">
        <v>15</v>
      </c>
      <c r="G506" s="11">
        <v>25.383400000000002</v>
      </c>
    </row>
    <row r="507" spans="1:7" x14ac:dyDescent="0.25">
      <c r="A507" s="12" t="s">
        <v>13</v>
      </c>
      <c r="B507" s="14" t="s">
        <v>198</v>
      </c>
      <c r="C507" s="12">
        <v>2021</v>
      </c>
      <c r="D507" s="12">
        <v>0.4</v>
      </c>
      <c r="E507" s="13"/>
      <c r="F507" s="12">
        <v>15</v>
      </c>
      <c r="G507" s="11">
        <v>24.063400000000001</v>
      </c>
    </row>
    <row r="508" spans="1:7" x14ac:dyDescent="0.25">
      <c r="A508" s="12" t="s">
        <v>13</v>
      </c>
      <c r="B508" s="14" t="s">
        <v>197</v>
      </c>
      <c r="C508" s="12">
        <v>2021</v>
      </c>
      <c r="D508" s="12">
        <v>0.4</v>
      </c>
      <c r="E508" s="13"/>
      <c r="F508" s="12">
        <v>15</v>
      </c>
      <c r="G508" s="11">
        <v>25.152899999999999</v>
      </c>
    </row>
    <row r="509" spans="1:7" x14ac:dyDescent="0.25">
      <c r="A509" s="12" t="s">
        <v>13</v>
      </c>
      <c r="B509" s="14" t="s">
        <v>196</v>
      </c>
      <c r="C509" s="12">
        <v>2021</v>
      </c>
      <c r="D509" s="12">
        <v>0.4</v>
      </c>
      <c r="E509" s="13"/>
      <c r="F509" s="12">
        <v>15</v>
      </c>
      <c r="G509" s="11">
        <v>25.2346</v>
      </c>
    </row>
    <row r="510" spans="1:7" x14ac:dyDescent="0.25">
      <c r="A510" s="12" t="s">
        <v>13</v>
      </c>
      <c r="B510" s="14" t="s">
        <v>195</v>
      </c>
      <c r="C510" s="12">
        <v>2021</v>
      </c>
      <c r="D510" s="12">
        <v>0.4</v>
      </c>
      <c r="E510" s="13"/>
      <c r="F510" s="12">
        <v>15</v>
      </c>
      <c r="G510" s="11">
        <v>25.084599999999998</v>
      </c>
    </row>
    <row r="511" spans="1:7" x14ac:dyDescent="0.25">
      <c r="A511" s="12" t="s">
        <v>13</v>
      </c>
      <c r="B511" s="14" t="s">
        <v>194</v>
      </c>
      <c r="C511" s="12">
        <v>2021</v>
      </c>
      <c r="D511" s="12">
        <v>0.4</v>
      </c>
      <c r="E511" s="13"/>
      <c r="F511" s="12">
        <v>15</v>
      </c>
      <c r="G511" s="11">
        <v>25.0563</v>
      </c>
    </row>
    <row r="512" spans="1:7" x14ac:dyDescent="0.25">
      <c r="A512" s="12" t="s">
        <v>13</v>
      </c>
      <c r="B512" s="14" t="s">
        <v>193</v>
      </c>
      <c r="C512" s="12">
        <v>2021</v>
      </c>
      <c r="D512" s="12">
        <v>0.4</v>
      </c>
      <c r="E512" s="13"/>
      <c r="F512" s="12">
        <v>15</v>
      </c>
      <c r="G512" s="11">
        <v>25.379899999999999</v>
      </c>
    </row>
    <row r="513" spans="1:7" x14ac:dyDescent="0.25">
      <c r="A513" s="12" t="s">
        <v>5</v>
      </c>
      <c r="B513" s="14" t="s">
        <v>192</v>
      </c>
      <c r="C513" s="12">
        <v>2021</v>
      </c>
      <c r="D513" s="12">
        <v>0.4</v>
      </c>
      <c r="E513" s="13"/>
      <c r="F513" s="12">
        <v>5</v>
      </c>
      <c r="G513" s="11">
        <v>13.8545</v>
      </c>
    </row>
    <row r="514" spans="1:7" x14ac:dyDescent="0.25">
      <c r="A514" s="12" t="s">
        <v>5</v>
      </c>
      <c r="B514" s="14" t="s">
        <v>191</v>
      </c>
      <c r="C514" s="12">
        <v>2021</v>
      </c>
      <c r="D514" s="12">
        <v>0.4</v>
      </c>
      <c r="E514" s="13"/>
      <c r="F514" s="12">
        <v>5</v>
      </c>
      <c r="G514" s="11">
        <v>13.7403</v>
      </c>
    </row>
    <row r="515" spans="1:7" x14ac:dyDescent="0.25">
      <c r="A515" s="12" t="s">
        <v>5</v>
      </c>
      <c r="B515" s="14" t="s">
        <v>190</v>
      </c>
      <c r="C515" s="12">
        <v>2021</v>
      </c>
      <c r="D515" s="12">
        <v>0.4</v>
      </c>
      <c r="E515" s="13"/>
      <c r="F515" s="12">
        <v>5</v>
      </c>
      <c r="G515" s="11">
        <v>14.1096</v>
      </c>
    </row>
    <row r="516" spans="1:7" x14ac:dyDescent="0.25">
      <c r="A516" s="12" t="s">
        <v>13</v>
      </c>
      <c r="B516" s="14" t="s">
        <v>189</v>
      </c>
      <c r="C516" s="12">
        <v>2021</v>
      </c>
      <c r="D516" s="12">
        <v>0.4</v>
      </c>
      <c r="E516" s="13"/>
      <c r="F516" s="12">
        <v>15</v>
      </c>
      <c r="G516" s="11">
        <v>23.421099999999999</v>
      </c>
    </row>
    <row r="517" spans="1:7" x14ac:dyDescent="0.25">
      <c r="A517" s="12" t="s">
        <v>13</v>
      </c>
      <c r="B517" s="14" t="s">
        <v>188</v>
      </c>
      <c r="C517" s="12">
        <v>2021</v>
      </c>
      <c r="D517" s="12">
        <v>0.4</v>
      </c>
      <c r="E517" s="13"/>
      <c r="F517" s="12">
        <v>15</v>
      </c>
      <c r="G517" s="11">
        <v>28.0259</v>
      </c>
    </row>
    <row r="518" spans="1:7" x14ac:dyDescent="0.25">
      <c r="A518" s="12" t="s">
        <v>5</v>
      </c>
      <c r="B518" s="14" t="s">
        <v>187</v>
      </c>
      <c r="C518" s="12">
        <v>2021</v>
      </c>
      <c r="D518" s="12">
        <v>0.4</v>
      </c>
      <c r="E518" s="13"/>
      <c r="F518" s="12">
        <v>5</v>
      </c>
      <c r="G518" s="11">
        <v>25.332100000000001</v>
      </c>
    </row>
    <row r="519" spans="1:7" x14ac:dyDescent="0.25">
      <c r="A519" s="12" t="s">
        <v>13</v>
      </c>
      <c r="B519" s="14" t="s">
        <v>186</v>
      </c>
      <c r="C519" s="12">
        <v>2021</v>
      </c>
      <c r="D519" s="12">
        <v>0.4</v>
      </c>
      <c r="E519" s="13"/>
      <c r="F519" s="12">
        <v>15</v>
      </c>
      <c r="G519" s="11">
        <v>13.152900000000001</v>
      </c>
    </row>
    <row r="520" spans="1:7" x14ac:dyDescent="0.25">
      <c r="A520" s="12" t="s">
        <v>5</v>
      </c>
      <c r="B520" s="14" t="s">
        <v>185</v>
      </c>
      <c r="C520" s="12">
        <v>2021</v>
      </c>
      <c r="D520" s="12">
        <v>0.4</v>
      </c>
      <c r="E520" s="13"/>
      <c r="F520" s="12">
        <v>5</v>
      </c>
      <c r="G520" s="11">
        <v>22.106200000000001</v>
      </c>
    </row>
    <row r="521" spans="1:7" x14ac:dyDescent="0.25">
      <c r="A521" s="12" t="s">
        <v>5</v>
      </c>
      <c r="B521" s="14" t="s">
        <v>184</v>
      </c>
      <c r="C521" s="12">
        <v>2021</v>
      </c>
      <c r="D521" s="12">
        <v>0.4</v>
      </c>
      <c r="E521" s="13"/>
      <c r="F521" s="12">
        <v>5</v>
      </c>
      <c r="G521" s="11">
        <v>5.88056</v>
      </c>
    </row>
    <row r="522" spans="1:7" x14ac:dyDescent="0.25">
      <c r="A522" s="12" t="s">
        <v>5</v>
      </c>
      <c r="B522" s="14" t="s">
        <v>183</v>
      </c>
      <c r="C522" s="12">
        <v>2021</v>
      </c>
      <c r="D522" s="12">
        <v>0.4</v>
      </c>
      <c r="E522" s="13"/>
      <c r="F522" s="12">
        <v>5</v>
      </c>
      <c r="G522" s="11">
        <v>12.3482</v>
      </c>
    </row>
    <row r="523" spans="1:7" x14ac:dyDescent="0.25">
      <c r="A523" s="12" t="s">
        <v>5</v>
      </c>
      <c r="B523" s="14" t="s">
        <v>182</v>
      </c>
      <c r="C523" s="12">
        <v>2021</v>
      </c>
      <c r="D523" s="12">
        <v>0.4</v>
      </c>
      <c r="E523" s="13"/>
      <c r="F523" s="12">
        <v>5</v>
      </c>
      <c r="G523" s="11">
        <v>13.0899</v>
      </c>
    </row>
    <row r="524" spans="1:7" x14ac:dyDescent="0.25">
      <c r="A524" s="12" t="s">
        <v>5</v>
      </c>
      <c r="B524" s="14" t="s">
        <v>181</v>
      </c>
      <c r="C524" s="12">
        <v>2021</v>
      </c>
      <c r="D524" s="12">
        <v>0.4</v>
      </c>
      <c r="E524" s="13"/>
      <c r="F524" s="12">
        <v>5</v>
      </c>
      <c r="G524" s="11">
        <v>13.2662</v>
      </c>
    </row>
    <row r="525" spans="1:7" x14ac:dyDescent="0.25">
      <c r="A525" s="12" t="s">
        <v>5</v>
      </c>
      <c r="B525" s="14" t="s">
        <v>180</v>
      </c>
      <c r="C525" s="12">
        <v>2021</v>
      </c>
      <c r="D525" s="12">
        <v>0.4</v>
      </c>
      <c r="E525" s="13"/>
      <c r="F525" s="12">
        <v>5</v>
      </c>
      <c r="G525" s="11">
        <v>13.303800000000001</v>
      </c>
    </row>
    <row r="526" spans="1:7" x14ac:dyDescent="0.25">
      <c r="A526" s="12" t="s">
        <v>5</v>
      </c>
      <c r="B526" s="14" t="s">
        <v>179</v>
      </c>
      <c r="C526" s="12">
        <v>2021</v>
      </c>
      <c r="D526" s="12">
        <v>0.4</v>
      </c>
      <c r="E526" s="13"/>
      <c r="F526" s="12">
        <v>5</v>
      </c>
      <c r="G526" s="11">
        <v>13.303699999999999</v>
      </c>
    </row>
    <row r="527" spans="1:7" x14ac:dyDescent="0.25">
      <c r="A527" s="12" t="s">
        <v>5</v>
      </c>
      <c r="B527" s="14" t="s">
        <v>178</v>
      </c>
      <c r="C527" s="12">
        <v>2021</v>
      </c>
      <c r="D527" s="12">
        <v>0.4</v>
      </c>
      <c r="E527" s="13"/>
      <c r="F527" s="12">
        <v>5</v>
      </c>
      <c r="G527" s="11">
        <v>13.303800000000001</v>
      </c>
    </row>
    <row r="528" spans="1:7" x14ac:dyDescent="0.25">
      <c r="A528" s="12" t="s">
        <v>13</v>
      </c>
      <c r="B528" s="14" t="s">
        <v>177</v>
      </c>
      <c r="C528" s="12">
        <v>2021</v>
      </c>
      <c r="D528" s="12">
        <v>0.4</v>
      </c>
      <c r="E528" s="13"/>
      <c r="F528" s="12">
        <v>14</v>
      </c>
      <c r="G528" s="11">
        <v>13.500400000000001</v>
      </c>
    </row>
    <row r="529" spans="1:7" x14ac:dyDescent="0.25">
      <c r="A529" s="12" t="s">
        <v>9</v>
      </c>
      <c r="B529" s="14" t="s">
        <v>176</v>
      </c>
      <c r="C529" s="12">
        <v>2021</v>
      </c>
      <c r="D529" s="12">
        <v>0.4</v>
      </c>
      <c r="E529" s="13"/>
      <c r="F529" s="12">
        <v>58</v>
      </c>
      <c r="G529" s="11">
        <v>23.749199999999998</v>
      </c>
    </row>
    <row r="530" spans="1:7" x14ac:dyDescent="0.25">
      <c r="A530" s="12" t="s">
        <v>9</v>
      </c>
      <c r="B530" s="14" t="s">
        <v>175</v>
      </c>
      <c r="C530" s="12">
        <v>2021</v>
      </c>
      <c r="D530" s="12">
        <v>0.4</v>
      </c>
      <c r="E530" s="13"/>
      <c r="F530" s="12">
        <v>50</v>
      </c>
      <c r="G530" s="11">
        <v>27.657</v>
      </c>
    </row>
    <row r="531" spans="1:7" x14ac:dyDescent="0.25">
      <c r="A531" s="12" t="s">
        <v>9</v>
      </c>
      <c r="B531" s="14" t="s">
        <v>174</v>
      </c>
      <c r="C531" s="12">
        <v>2021</v>
      </c>
      <c r="D531" s="12">
        <v>0.4</v>
      </c>
      <c r="E531" s="13"/>
      <c r="F531" s="12">
        <v>100</v>
      </c>
      <c r="G531" s="11">
        <v>13.1669</v>
      </c>
    </row>
    <row r="532" spans="1:7" x14ac:dyDescent="0.25">
      <c r="A532" s="12" t="s">
        <v>9</v>
      </c>
      <c r="B532" s="14" t="s">
        <v>173</v>
      </c>
      <c r="C532" s="12">
        <v>2021</v>
      </c>
      <c r="D532" s="12">
        <v>0.4</v>
      </c>
      <c r="E532" s="13"/>
      <c r="F532" s="12">
        <v>622</v>
      </c>
      <c r="G532" s="11">
        <v>22.500499999999999</v>
      </c>
    </row>
    <row r="533" spans="1:7" x14ac:dyDescent="0.25">
      <c r="A533" s="12" t="s">
        <v>13</v>
      </c>
      <c r="B533" s="14" t="s">
        <v>172</v>
      </c>
      <c r="C533" s="12">
        <v>2021</v>
      </c>
      <c r="D533" s="12">
        <v>0.4</v>
      </c>
      <c r="E533" s="13"/>
      <c r="F533" s="12">
        <v>10</v>
      </c>
      <c r="G533" s="11">
        <v>102.012</v>
      </c>
    </row>
    <row r="534" spans="1:7" x14ac:dyDescent="0.25">
      <c r="A534" s="12" t="s">
        <v>13</v>
      </c>
      <c r="B534" s="14" t="s">
        <v>171</v>
      </c>
      <c r="C534" s="12">
        <v>2021</v>
      </c>
      <c r="D534" s="12">
        <v>0.4</v>
      </c>
      <c r="E534" s="13"/>
      <c r="F534" s="12">
        <v>30</v>
      </c>
      <c r="G534" s="11">
        <v>23.7788</v>
      </c>
    </row>
    <row r="535" spans="1:7" x14ac:dyDescent="0.25">
      <c r="A535" s="12" t="s">
        <v>13</v>
      </c>
      <c r="B535" s="14" t="s">
        <v>170</v>
      </c>
      <c r="C535" s="12">
        <v>2021</v>
      </c>
      <c r="D535" s="12">
        <v>0.4</v>
      </c>
      <c r="E535" s="13"/>
      <c r="F535" s="12">
        <v>11.5</v>
      </c>
      <c r="G535" s="11">
        <v>25.353400000000001</v>
      </c>
    </row>
    <row r="536" spans="1:7" x14ac:dyDescent="0.25">
      <c r="A536" s="12" t="s">
        <v>5</v>
      </c>
      <c r="B536" s="14" t="s">
        <v>169</v>
      </c>
      <c r="C536" s="12">
        <v>2021</v>
      </c>
      <c r="D536" s="12">
        <v>0.4</v>
      </c>
      <c r="E536" s="13"/>
      <c r="F536" s="12">
        <v>5</v>
      </c>
      <c r="G536" s="11">
        <v>24.154399999999999</v>
      </c>
    </row>
    <row r="537" spans="1:7" x14ac:dyDescent="0.25">
      <c r="A537" s="12" t="s">
        <v>5</v>
      </c>
      <c r="B537" s="14" t="s">
        <v>168</v>
      </c>
      <c r="C537" s="12">
        <v>2021</v>
      </c>
      <c r="D537" s="12">
        <v>0.4</v>
      </c>
      <c r="E537" s="13"/>
      <c r="F537" s="12">
        <v>5</v>
      </c>
      <c r="G537" s="11">
        <v>13.7471</v>
      </c>
    </row>
    <row r="538" spans="1:7" x14ac:dyDescent="0.25">
      <c r="A538" s="12" t="s">
        <v>5</v>
      </c>
      <c r="B538" s="14" t="s">
        <v>167</v>
      </c>
      <c r="C538" s="12">
        <v>2021</v>
      </c>
      <c r="D538" s="12">
        <v>0.4</v>
      </c>
      <c r="E538" s="13"/>
      <c r="F538" s="12">
        <v>5</v>
      </c>
      <c r="G538" s="11">
        <v>13.7121</v>
      </c>
    </row>
    <row r="539" spans="1:7" x14ac:dyDescent="0.25">
      <c r="A539" s="12" t="s">
        <v>5</v>
      </c>
      <c r="B539" s="14" t="s">
        <v>166</v>
      </c>
      <c r="C539" s="12">
        <v>2021</v>
      </c>
      <c r="D539" s="12">
        <v>0.4</v>
      </c>
      <c r="E539" s="13"/>
      <c r="F539" s="12">
        <v>5</v>
      </c>
      <c r="G539" s="11">
        <v>13.7121</v>
      </c>
    </row>
    <row r="540" spans="1:7" x14ac:dyDescent="0.25">
      <c r="A540" s="12" t="s">
        <v>5</v>
      </c>
      <c r="B540" s="14" t="s">
        <v>165</v>
      </c>
      <c r="C540" s="12">
        <v>2021</v>
      </c>
      <c r="D540" s="12">
        <v>0.4</v>
      </c>
      <c r="E540" s="13"/>
      <c r="F540" s="12">
        <v>5</v>
      </c>
      <c r="G540" s="11">
        <v>13.0746</v>
      </c>
    </row>
    <row r="541" spans="1:7" x14ac:dyDescent="0.25">
      <c r="A541" s="12" t="s">
        <v>5</v>
      </c>
      <c r="B541" s="14" t="s">
        <v>164</v>
      </c>
      <c r="C541" s="12">
        <v>2021</v>
      </c>
      <c r="D541" s="12">
        <v>0.4</v>
      </c>
      <c r="E541" s="13"/>
      <c r="F541" s="12">
        <v>5</v>
      </c>
      <c r="G541" s="11">
        <v>13.7121</v>
      </c>
    </row>
    <row r="542" spans="1:7" x14ac:dyDescent="0.25">
      <c r="A542" s="12" t="s">
        <v>5</v>
      </c>
      <c r="B542" s="14" t="s">
        <v>163</v>
      </c>
      <c r="C542" s="12">
        <v>2021</v>
      </c>
      <c r="D542" s="12">
        <v>0.4</v>
      </c>
      <c r="E542" s="13"/>
      <c r="F542" s="12">
        <v>5</v>
      </c>
      <c r="G542" s="11">
        <v>13.019600000000001</v>
      </c>
    </row>
    <row r="543" spans="1:7" x14ac:dyDescent="0.25">
      <c r="A543" s="12" t="s">
        <v>5</v>
      </c>
      <c r="B543" s="14" t="s">
        <v>162</v>
      </c>
      <c r="C543" s="12">
        <v>2021</v>
      </c>
      <c r="D543" s="12">
        <v>0.4</v>
      </c>
      <c r="E543" s="13"/>
      <c r="F543" s="12">
        <v>5</v>
      </c>
      <c r="G543" s="11">
        <v>13.7121</v>
      </c>
    </row>
    <row r="544" spans="1:7" x14ac:dyDescent="0.25">
      <c r="A544" s="12" t="s">
        <v>5</v>
      </c>
      <c r="B544" s="14" t="s">
        <v>161</v>
      </c>
      <c r="C544" s="12">
        <v>2021</v>
      </c>
      <c r="D544" s="12">
        <v>0.4</v>
      </c>
      <c r="E544" s="13"/>
      <c r="F544" s="12">
        <v>5</v>
      </c>
      <c r="G544" s="11">
        <v>13.7471</v>
      </c>
    </row>
    <row r="545" spans="1:7" x14ac:dyDescent="0.25">
      <c r="A545" s="12" t="s">
        <v>5</v>
      </c>
      <c r="B545" s="14" t="s">
        <v>160</v>
      </c>
      <c r="C545" s="12">
        <v>2021</v>
      </c>
      <c r="D545" s="12">
        <v>0.4</v>
      </c>
      <c r="E545" s="13"/>
      <c r="F545" s="12">
        <v>5</v>
      </c>
      <c r="G545" s="11">
        <v>13.7471</v>
      </c>
    </row>
    <row r="546" spans="1:7" x14ac:dyDescent="0.25">
      <c r="A546" s="12" t="s">
        <v>5</v>
      </c>
      <c r="B546" s="14" t="s">
        <v>159</v>
      </c>
      <c r="C546" s="12">
        <v>2021</v>
      </c>
      <c r="D546" s="12">
        <v>0.4</v>
      </c>
      <c r="E546" s="13"/>
      <c r="F546" s="12">
        <v>5</v>
      </c>
      <c r="G546" s="11">
        <v>13.7471</v>
      </c>
    </row>
    <row r="547" spans="1:7" x14ac:dyDescent="0.25">
      <c r="A547" s="12" t="s">
        <v>5</v>
      </c>
      <c r="B547" s="14" t="s">
        <v>158</v>
      </c>
      <c r="C547" s="12">
        <v>2021</v>
      </c>
      <c r="D547" s="12">
        <v>0.4</v>
      </c>
      <c r="E547" s="13"/>
      <c r="F547" s="12">
        <v>5</v>
      </c>
      <c r="G547" s="11">
        <v>13.7471</v>
      </c>
    </row>
    <row r="548" spans="1:7" x14ac:dyDescent="0.25">
      <c r="A548" s="12" t="s">
        <v>5</v>
      </c>
      <c r="B548" s="14" t="s">
        <v>157</v>
      </c>
      <c r="C548" s="12">
        <v>2021</v>
      </c>
      <c r="D548" s="12">
        <v>0.4</v>
      </c>
      <c r="E548" s="13"/>
      <c r="F548" s="12">
        <v>5</v>
      </c>
      <c r="G548" s="11">
        <v>13.7471</v>
      </c>
    </row>
    <row r="549" spans="1:7" x14ac:dyDescent="0.25">
      <c r="A549" s="12" t="s">
        <v>5</v>
      </c>
      <c r="B549" s="14" t="s">
        <v>156</v>
      </c>
      <c r="C549" s="12">
        <v>2021</v>
      </c>
      <c r="D549" s="12">
        <v>0.4</v>
      </c>
      <c r="E549" s="13"/>
      <c r="F549" s="12">
        <v>5</v>
      </c>
      <c r="G549" s="11">
        <v>13.7471</v>
      </c>
    </row>
    <row r="550" spans="1:7" x14ac:dyDescent="0.25">
      <c r="A550" s="12" t="s">
        <v>5</v>
      </c>
      <c r="B550" s="14" t="s">
        <v>155</v>
      </c>
      <c r="C550" s="12">
        <v>2021</v>
      </c>
      <c r="D550" s="12">
        <v>0.4</v>
      </c>
      <c r="E550" s="13"/>
      <c r="F550" s="12">
        <v>5</v>
      </c>
      <c r="G550" s="11">
        <v>13.937200000000001</v>
      </c>
    </row>
    <row r="551" spans="1:7" x14ac:dyDescent="0.25">
      <c r="A551" s="12" t="s">
        <v>5</v>
      </c>
      <c r="B551" s="14" t="s">
        <v>154</v>
      </c>
      <c r="C551" s="12">
        <v>2021</v>
      </c>
      <c r="D551" s="12">
        <v>0.4</v>
      </c>
      <c r="E551" s="13"/>
      <c r="F551" s="12">
        <v>5</v>
      </c>
      <c r="G551" s="11">
        <v>13.679500000000001</v>
      </c>
    </row>
    <row r="552" spans="1:7" x14ac:dyDescent="0.25">
      <c r="A552" s="12" t="s">
        <v>5</v>
      </c>
      <c r="B552" s="14" t="s">
        <v>153</v>
      </c>
      <c r="C552" s="12">
        <v>2021</v>
      </c>
      <c r="D552" s="12">
        <v>0.4</v>
      </c>
      <c r="E552" s="13"/>
      <c r="F552" s="12">
        <v>5</v>
      </c>
      <c r="G552" s="11">
        <v>13.937200000000001</v>
      </c>
    </row>
    <row r="553" spans="1:7" x14ac:dyDescent="0.25">
      <c r="A553" s="12" t="s">
        <v>9</v>
      </c>
      <c r="B553" s="14" t="s">
        <v>152</v>
      </c>
      <c r="C553" s="12">
        <v>2021</v>
      </c>
      <c r="D553" s="12">
        <v>0.4</v>
      </c>
      <c r="E553" s="13"/>
      <c r="F553" s="12">
        <v>60</v>
      </c>
      <c r="G553" s="11">
        <v>13.679500000000001</v>
      </c>
    </row>
    <row r="554" spans="1:7" x14ac:dyDescent="0.25">
      <c r="A554" s="12" t="s">
        <v>13</v>
      </c>
      <c r="B554" s="14" t="s">
        <v>151</v>
      </c>
      <c r="C554" s="12">
        <v>2021</v>
      </c>
      <c r="D554" s="12">
        <v>0.4</v>
      </c>
      <c r="E554" s="13"/>
      <c r="F554" s="12">
        <v>15</v>
      </c>
      <c r="G554" s="11">
        <v>22.517399999999999</v>
      </c>
    </row>
    <row r="555" spans="1:7" x14ac:dyDescent="0.25">
      <c r="A555" s="12" t="s">
        <v>13</v>
      </c>
      <c r="B555" s="14" t="s">
        <v>150</v>
      </c>
      <c r="C555" s="12">
        <v>2021</v>
      </c>
      <c r="D555" s="12">
        <v>0.4</v>
      </c>
      <c r="E555" s="13"/>
      <c r="F555" s="12">
        <v>15</v>
      </c>
      <c r="G555" s="11">
        <v>24.3233</v>
      </c>
    </row>
    <row r="556" spans="1:7" x14ac:dyDescent="0.25">
      <c r="A556" s="12" t="s">
        <v>9</v>
      </c>
      <c r="B556" s="14" t="s">
        <v>149</v>
      </c>
      <c r="C556" s="12">
        <v>2021</v>
      </c>
      <c r="D556" s="12">
        <v>0.4</v>
      </c>
      <c r="E556" s="13"/>
      <c r="F556" s="12">
        <v>80</v>
      </c>
      <c r="G556" s="11">
        <v>25.406700000000001</v>
      </c>
    </row>
    <row r="557" spans="1:7" x14ac:dyDescent="0.25">
      <c r="A557" s="12" t="s">
        <v>9</v>
      </c>
      <c r="B557" s="14" t="s">
        <v>148</v>
      </c>
      <c r="C557" s="12">
        <v>2021</v>
      </c>
      <c r="D557" s="12">
        <v>0.4</v>
      </c>
      <c r="E557" s="13"/>
      <c r="F557" s="12">
        <v>180</v>
      </c>
      <c r="G557" s="11">
        <v>10.907500000000001</v>
      </c>
    </row>
    <row r="558" spans="1:7" x14ac:dyDescent="0.25">
      <c r="A558" s="12" t="s">
        <v>13</v>
      </c>
      <c r="B558" s="14" t="s">
        <v>147</v>
      </c>
      <c r="C558" s="12">
        <v>2021</v>
      </c>
      <c r="D558" s="12">
        <v>0.4</v>
      </c>
      <c r="E558" s="13"/>
      <c r="F558" s="12">
        <v>23</v>
      </c>
      <c r="G558" s="11">
        <v>12.1288</v>
      </c>
    </row>
    <row r="559" spans="1:7" x14ac:dyDescent="0.25">
      <c r="A559" s="12" t="s">
        <v>9</v>
      </c>
      <c r="B559" s="14" t="s">
        <v>146</v>
      </c>
      <c r="C559" s="12">
        <v>2021</v>
      </c>
      <c r="D559" s="12">
        <v>0.4</v>
      </c>
      <c r="E559" s="13"/>
      <c r="F559" s="12">
        <v>60</v>
      </c>
      <c r="G559" s="11">
        <v>26.607500000000002</v>
      </c>
    </row>
    <row r="560" spans="1:7" x14ac:dyDescent="0.25">
      <c r="A560" s="12" t="s">
        <v>13</v>
      </c>
      <c r="B560" s="14" t="s">
        <v>145</v>
      </c>
      <c r="C560" s="12">
        <v>2021</v>
      </c>
      <c r="D560" s="12">
        <v>0.4</v>
      </c>
      <c r="E560" s="13"/>
      <c r="F560" s="12">
        <v>15</v>
      </c>
      <c r="G560" s="11">
        <v>36.880299999999998</v>
      </c>
    </row>
    <row r="561" spans="1:7" x14ac:dyDescent="0.25">
      <c r="A561" s="12" t="s">
        <v>5</v>
      </c>
      <c r="B561" s="14" t="s">
        <v>144</v>
      </c>
      <c r="C561" s="12">
        <v>2021</v>
      </c>
      <c r="D561" s="12">
        <v>0.4</v>
      </c>
      <c r="E561" s="13"/>
      <c r="F561" s="12">
        <v>5</v>
      </c>
      <c r="G561" s="11">
        <v>25.299199999999999</v>
      </c>
    </row>
    <row r="562" spans="1:7" x14ac:dyDescent="0.25">
      <c r="A562" s="12" t="s">
        <v>9</v>
      </c>
      <c r="B562" s="14" t="s">
        <v>143</v>
      </c>
      <c r="C562" s="12">
        <v>2021</v>
      </c>
      <c r="D562" s="12">
        <v>0.4</v>
      </c>
      <c r="E562" s="13"/>
      <c r="F562" s="12">
        <v>70</v>
      </c>
      <c r="G562" s="11">
        <v>27.383400000000002</v>
      </c>
    </row>
    <row r="563" spans="1:7" x14ac:dyDescent="0.25">
      <c r="A563" s="12" t="s">
        <v>5</v>
      </c>
      <c r="B563" s="14" t="s">
        <v>142</v>
      </c>
      <c r="C563" s="12">
        <v>2021</v>
      </c>
      <c r="D563" s="12">
        <v>0.4</v>
      </c>
      <c r="E563" s="13"/>
      <c r="F563" s="12">
        <v>5</v>
      </c>
      <c r="G563" s="11">
        <v>25.774999999999999</v>
      </c>
    </row>
    <row r="564" spans="1:7" x14ac:dyDescent="0.25">
      <c r="A564" s="12" t="s">
        <v>9</v>
      </c>
      <c r="B564" s="14" t="s">
        <v>141</v>
      </c>
      <c r="C564" s="12">
        <v>2021</v>
      </c>
      <c r="D564" s="12">
        <v>0.4</v>
      </c>
      <c r="E564" s="13"/>
      <c r="F564" s="12">
        <v>135</v>
      </c>
      <c r="G564" s="11">
        <v>20.617599999999999</v>
      </c>
    </row>
    <row r="565" spans="1:7" x14ac:dyDescent="0.25">
      <c r="A565" s="12" t="s">
        <v>5</v>
      </c>
      <c r="B565" s="14" t="s">
        <v>140</v>
      </c>
      <c r="C565" s="12">
        <v>2021</v>
      </c>
      <c r="D565" s="12">
        <v>0.4</v>
      </c>
      <c r="E565" s="13"/>
      <c r="F565" s="12">
        <v>5</v>
      </c>
      <c r="G565" s="11">
        <v>9.8651</v>
      </c>
    </row>
    <row r="566" spans="1:7" x14ac:dyDescent="0.25">
      <c r="A566" s="12" t="s">
        <v>13</v>
      </c>
      <c r="B566" s="14" t="s">
        <v>139</v>
      </c>
      <c r="C566" s="12">
        <v>2021</v>
      </c>
      <c r="D566" s="12">
        <v>0.4</v>
      </c>
      <c r="E566" s="13"/>
      <c r="F566" s="12">
        <v>15</v>
      </c>
      <c r="G566" s="11">
        <v>12.891999999999999</v>
      </c>
    </row>
    <row r="567" spans="1:7" x14ac:dyDescent="0.25">
      <c r="A567" s="12" t="s">
        <v>13</v>
      </c>
      <c r="B567" s="14" t="s">
        <v>138</v>
      </c>
      <c r="C567" s="12">
        <v>2021</v>
      </c>
      <c r="D567" s="12">
        <v>0.4</v>
      </c>
      <c r="E567" s="13"/>
      <c r="F567" s="12">
        <v>45</v>
      </c>
      <c r="G567" s="11">
        <v>23.2638</v>
      </c>
    </row>
    <row r="568" spans="1:7" x14ac:dyDescent="0.25">
      <c r="A568" s="12" t="s">
        <v>13</v>
      </c>
      <c r="B568" s="14" t="s">
        <v>137</v>
      </c>
      <c r="C568" s="12">
        <v>2021</v>
      </c>
      <c r="D568" s="12">
        <v>0.4</v>
      </c>
      <c r="E568" s="13"/>
      <c r="F568" s="12">
        <v>28</v>
      </c>
      <c r="G568" s="11">
        <v>24.904599999999999</v>
      </c>
    </row>
    <row r="569" spans="1:7" x14ac:dyDescent="0.25">
      <c r="A569" s="12" t="s">
        <v>5</v>
      </c>
      <c r="B569" s="14" t="s">
        <v>136</v>
      </c>
      <c r="C569" s="12">
        <v>2021</v>
      </c>
      <c r="D569" s="12">
        <v>0.4</v>
      </c>
      <c r="E569" s="13"/>
      <c r="F569" s="12">
        <v>5</v>
      </c>
      <c r="G569" s="11">
        <v>25.818000000000001</v>
      </c>
    </row>
    <row r="570" spans="1:7" x14ac:dyDescent="0.25">
      <c r="A570" s="12" t="s">
        <v>5</v>
      </c>
      <c r="B570" s="14" t="s">
        <v>135</v>
      </c>
      <c r="C570" s="12">
        <v>2021</v>
      </c>
      <c r="D570" s="12">
        <v>0.4</v>
      </c>
      <c r="E570" s="13"/>
      <c r="F570" s="12">
        <v>5</v>
      </c>
      <c r="G570" s="11">
        <v>14.3315</v>
      </c>
    </row>
    <row r="571" spans="1:7" x14ac:dyDescent="0.25">
      <c r="A571" s="12" t="s">
        <v>13</v>
      </c>
      <c r="B571" s="14" t="s">
        <v>134</v>
      </c>
      <c r="C571" s="12">
        <v>2021</v>
      </c>
      <c r="D571" s="12">
        <v>0.4</v>
      </c>
      <c r="E571" s="13"/>
      <c r="F571" s="12">
        <v>44.5</v>
      </c>
      <c r="G571" s="11">
        <v>13.7029</v>
      </c>
    </row>
    <row r="572" spans="1:7" x14ac:dyDescent="0.25">
      <c r="A572" s="12" t="s">
        <v>13</v>
      </c>
      <c r="B572" s="14" t="s">
        <v>133</v>
      </c>
      <c r="C572" s="12">
        <v>2021</v>
      </c>
      <c r="D572" s="12">
        <v>0.4</v>
      </c>
      <c r="E572" s="13"/>
      <c r="F572" s="12">
        <v>15</v>
      </c>
      <c r="G572" s="11">
        <v>35.235700000000001</v>
      </c>
    </row>
    <row r="573" spans="1:7" x14ac:dyDescent="0.25">
      <c r="A573" s="12" t="s">
        <v>5</v>
      </c>
      <c r="B573" s="14" t="s">
        <v>132</v>
      </c>
      <c r="C573" s="12">
        <v>2021</v>
      </c>
      <c r="D573" s="12">
        <v>0.4</v>
      </c>
      <c r="E573" s="13"/>
      <c r="F573" s="12">
        <v>5</v>
      </c>
      <c r="G573" s="11">
        <v>25.629100000000001</v>
      </c>
    </row>
    <row r="574" spans="1:7" x14ac:dyDescent="0.25">
      <c r="A574" s="12" t="s">
        <v>5</v>
      </c>
      <c r="B574" s="14" t="s">
        <v>131</v>
      </c>
      <c r="C574" s="12">
        <v>2021</v>
      </c>
      <c r="D574" s="12">
        <v>0.4</v>
      </c>
      <c r="E574" s="13"/>
      <c r="F574" s="12">
        <v>5</v>
      </c>
      <c r="G574" s="11">
        <v>13.009600000000001</v>
      </c>
    </row>
    <row r="575" spans="1:7" x14ac:dyDescent="0.25">
      <c r="A575" s="12" t="s">
        <v>13</v>
      </c>
      <c r="B575" s="14" t="s">
        <v>130</v>
      </c>
      <c r="C575" s="12">
        <v>2021</v>
      </c>
      <c r="D575" s="12">
        <v>0.4</v>
      </c>
      <c r="E575" s="13"/>
      <c r="F575" s="12">
        <v>30</v>
      </c>
      <c r="G575" s="11">
        <v>13.8187</v>
      </c>
    </row>
    <row r="576" spans="1:7" x14ac:dyDescent="0.25">
      <c r="A576" s="12" t="s">
        <v>13</v>
      </c>
      <c r="B576" s="14" t="s">
        <v>129</v>
      </c>
      <c r="C576" s="12">
        <v>2021</v>
      </c>
      <c r="D576" s="12">
        <v>0.4</v>
      </c>
      <c r="E576" s="13"/>
      <c r="F576" s="12">
        <v>30</v>
      </c>
      <c r="G576" s="11">
        <v>51.136400000000002</v>
      </c>
    </row>
    <row r="577" spans="1:8" x14ac:dyDescent="0.25">
      <c r="A577" s="12" t="s">
        <v>5</v>
      </c>
      <c r="B577" s="14" t="s">
        <v>128</v>
      </c>
      <c r="C577" s="12">
        <v>2021</v>
      </c>
      <c r="D577" s="12">
        <v>0.4</v>
      </c>
      <c r="E577" s="13"/>
      <c r="F577" s="12">
        <v>5</v>
      </c>
      <c r="G577" s="11">
        <v>35.314999999999998</v>
      </c>
    </row>
    <row r="578" spans="1:8" x14ac:dyDescent="0.25">
      <c r="A578" s="12" t="s">
        <v>13</v>
      </c>
      <c r="B578" s="14" t="s">
        <v>127</v>
      </c>
      <c r="C578" s="12">
        <v>2021</v>
      </c>
      <c r="D578" s="12">
        <v>0.4</v>
      </c>
      <c r="E578" s="13"/>
      <c r="F578" s="12">
        <v>15</v>
      </c>
      <c r="G578" s="11">
        <v>13.043100000000001</v>
      </c>
    </row>
    <row r="579" spans="1:8" x14ac:dyDescent="0.25">
      <c r="A579" s="12" t="s">
        <v>13</v>
      </c>
      <c r="B579" s="14" t="s">
        <v>126</v>
      </c>
      <c r="C579" s="12">
        <v>2021</v>
      </c>
      <c r="D579" s="12">
        <v>0.4</v>
      </c>
      <c r="E579" s="13"/>
      <c r="F579" s="12">
        <v>15</v>
      </c>
      <c r="G579" s="11">
        <v>23.331199999999999</v>
      </c>
    </row>
    <row r="580" spans="1:8" x14ac:dyDescent="0.25">
      <c r="A580" s="12" t="s">
        <v>5</v>
      </c>
      <c r="B580" s="14" t="s">
        <v>125</v>
      </c>
      <c r="C580" s="12">
        <v>2021</v>
      </c>
      <c r="D580" s="12">
        <v>0.4</v>
      </c>
      <c r="E580" s="13"/>
      <c r="F580" s="12">
        <v>5</v>
      </c>
      <c r="G580" s="11">
        <v>19.840399999999999</v>
      </c>
    </row>
    <row r="581" spans="1:8" x14ac:dyDescent="0.25">
      <c r="A581" s="12" t="s">
        <v>13</v>
      </c>
      <c r="B581" s="14" t="s">
        <v>124</v>
      </c>
      <c r="C581" s="12">
        <v>2021</v>
      </c>
      <c r="D581" s="12">
        <v>0.4</v>
      </c>
      <c r="E581" s="13"/>
      <c r="F581" s="12">
        <v>15</v>
      </c>
      <c r="G581" s="11">
        <v>13.0558</v>
      </c>
    </row>
    <row r="582" spans="1:8" x14ac:dyDescent="0.25">
      <c r="A582" s="12" t="s">
        <v>13</v>
      </c>
      <c r="B582" s="14" t="s">
        <v>123</v>
      </c>
      <c r="C582" s="12">
        <v>2021</v>
      </c>
      <c r="D582" s="12">
        <v>0.4</v>
      </c>
      <c r="E582" s="13"/>
      <c r="F582" s="12">
        <v>15</v>
      </c>
      <c r="G582" s="11">
        <v>22.046299999999999</v>
      </c>
    </row>
    <row r="583" spans="1:8" x14ac:dyDescent="0.25">
      <c r="A583" s="105" t="s">
        <v>13</v>
      </c>
      <c r="B583" s="94" t="s">
        <v>122</v>
      </c>
      <c r="C583" s="154">
        <v>2022</v>
      </c>
      <c r="D583" s="96">
        <v>0.4</v>
      </c>
      <c r="E583" s="96"/>
      <c r="F583" s="97">
        <v>15</v>
      </c>
      <c r="G583" s="106">
        <v>8.5298999999999996</v>
      </c>
      <c r="H583" s="153"/>
    </row>
    <row r="584" spans="1:8" x14ac:dyDescent="0.25">
      <c r="A584" s="105" t="s">
        <v>13</v>
      </c>
      <c r="B584" s="94" t="s">
        <v>121</v>
      </c>
      <c r="C584" s="95">
        <v>2022</v>
      </c>
      <c r="D584" s="96">
        <v>0.4</v>
      </c>
      <c r="E584" s="96"/>
      <c r="F584" s="97">
        <v>15</v>
      </c>
      <c r="G584" s="106">
        <v>25.28098</v>
      </c>
      <c r="H584" s="147"/>
    </row>
    <row r="585" spans="1:8" x14ac:dyDescent="0.25">
      <c r="A585" s="105" t="s">
        <v>13</v>
      </c>
      <c r="B585" s="94" t="s">
        <v>399</v>
      </c>
      <c r="C585" s="95">
        <v>2022</v>
      </c>
      <c r="D585" s="96">
        <v>0.4</v>
      </c>
      <c r="E585" s="96"/>
      <c r="F585" s="99">
        <v>10</v>
      </c>
      <c r="G585" s="107">
        <v>14.67</v>
      </c>
      <c r="H585" s="147"/>
    </row>
    <row r="586" spans="1:8" x14ac:dyDescent="0.25">
      <c r="A586" s="105" t="s">
        <v>13</v>
      </c>
      <c r="B586" s="94" t="s">
        <v>120</v>
      </c>
      <c r="C586" s="95">
        <v>2022</v>
      </c>
      <c r="D586" s="96">
        <v>0.4</v>
      </c>
      <c r="E586" s="96"/>
      <c r="F586" s="97">
        <v>15</v>
      </c>
      <c r="G586" s="108">
        <v>27.48939</v>
      </c>
      <c r="H586" s="147"/>
    </row>
    <row r="587" spans="1:8" x14ac:dyDescent="0.25">
      <c r="A587" s="105" t="s">
        <v>5</v>
      </c>
      <c r="B587" s="94" t="s">
        <v>684</v>
      </c>
      <c r="C587" s="95">
        <v>2022</v>
      </c>
      <c r="D587" s="96">
        <v>0.4</v>
      </c>
      <c r="E587" s="96"/>
      <c r="F587" s="97">
        <v>3</v>
      </c>
      <c r="G587" s="109">
        <v>13.676449999999999</v>
      </c>
      <c r="H587" s="147"/>
    </row>
    <row r="588" spans="1:8" x14ac:dyDescent="0.25">
      <c r="A588" s="105" t="s">
        <v>5</v>
      </c>
      <c r="B588" s="94" t="s">
        <v>684</v>
      </c>
      <c r="C588" s="95">
        <v>2022</v>
      </c>
      <c r="D588" s="96">
        <v>0.4</v>
      </c>
      <c r="E588" s="96"/>
      <c r="F588" s="97">
        <v>3</v>
      </c>
      <c r="G588" s="109">
        <v>13.676449999999999</v>
      </c>
      <c r="H588" s="147"/>
    </row>
    <row r="589" spans="1:8" x14ac:dyDescent="0.25">
      <c r="A589" s="105" t="s">
        <v>5</v>
      </c>
      <c r="B589" s="94" t="s">
        <v>684</v>
      </c>
      <c r="C589" s="95">
        <v>2022</v>
      </c>
      <c r="D589" s="96">
        <v>0.4</v>
      </c>
      <c r="E589" s="96"/>
      <c r="F589" s="97">
        <v>3</v>
      </c>
      <c r="G589" s="109">
        <v>13.676449999999999</v>
      </c>
      <c r="H589" s="147"/>
    </row>
    <row r="590" spans="1:8" x14ac:dyDescent="0.25">
      <c r="A590" s="105" t="s">
        <v>5</v>
      </c>
      <c r="B590" s="94" t="s">
        <v>396</v>
      </c>
      <c r="C590" s="95">
        <v>2022</v>
      </c>
      <c r="D590" s="96">
        <v>0.4</v>
      </c>
      <c r="E590" s="96"/>
      <c r="F590" s="97">
        <v>5</v>
      </c>
      <c r="G590" s="98">
        <v>8.6006599999999995</v>
      </c>
      <c r="H590" s="147"/>
    </row>
    <row r="591" spans="1:8" x14ac:dyDescent="0.25">
      <c r="A591" s="105" t="s">
        <v>13</v>
      </c>
      <c r="B591" s="94" t="s">
        <v>571</v>
      </c>
      <c r="C591" s="95">
        <v>2022</v>
      </c>
      <c r="D591" s="96">
        <v>0.4</v>
      </c>
      <c r="E591" s="96"/>
      <c r="F591" s="97">
        <v>15</v>
      </c>
      <c r="G591" s="106">
        <v>23.731759999999998</v>
      </c>
      <c r="H591" s="147"/>
    </row>
    <row r="592" spans="1:8" x14ac:dyDescent="0.25">
      <c r="A592" s="105" t="s">
        <v>13</v>
      </c>
      <c r="B592" s="94" t="s">
        <v>395</v>
      </c>
      <c r="C592" s="95">
        <v>2022</v>
      </c>
      <c r="D592" s="96">
        <v>0.4</v>
      </c>
      <c r="E592" s="96"/>
      <c r="F592" s="97">
        <v>15</v>
      </c>
      <c r="G592" s="106">
        <v>25.422840000000001</v>
      </c>
      <c r="H592" s="147"/>
    </row>
    <row r="593" spans="1:8" x14ac:dyDescent="0.25">
      <c r="A593" s="105" t="s">
        <v>13</v>
      </c>
      <c r="B593" s="94" t="s">
        <v>395</v>
      </c>
      <c r="C593" s="95">
        <v>2022</v>
      </c>
      <c r="D593" s="96">
        <v>0.4</v>
      </c>
      <c r="E593" s="96"/>
      <c r="F593" s="97">
        <v>15</v>
      </c>
      <c r="G593" s="106">
        <v>25.422840000000001</v>
      </c>
      <c r="H593" s="147"/>
    </row>
    <row r="594" spans="1:8" x14ac:dyDescent="0.25">
      <c r="A594" s="105" t="s">
        <v>5</v>
      </c>
      <c r="B594" s="94" t="s">
        <v>119</v>
      </c>
      <c r="C594" s="95">
        <v>2022</v>
      </c>
      <c r="D594" s="96">
        <v>0.4</v>
      </c>
      <c r="E594" s="96"/>
      <c r="F594" s="97">
        <v>5</v>
      </c>
      <c r="G594" s="98">
        <v>12.016950000000001</v>
      </c>
      <c r="H594" s="147"/>
    </row>
    <row r="595" spans="1:8" x14ac:dyDescent="0.25">
      <c r="A595" s="105" t="s">
        <v>5</v>
      </c>
      <c r="B595" s="94" t="s">
        <v>119</v>
      </c>
      <c r="C595" s="95">
        <v>2022</v>
      </c>
      <c r="D595" s="96">
        <v>0.4</v>
      </c>
      <c r="E595" s="96"/>
      <c r="F595" s="97">
        <v>5</v>
      </c>
      <c r="G595" s="98">
        <v>11.26427</v>
      </c>
      <c r="H595" s="147"/>
    </row>
    <row r="596" spans="1:8" x14ac:dyDescent="0.25">
      <c r="A596" s="105" t="s">
        <v>5</v>
      </c>
      <c r="B596" s="94" t="s">
        <v>118</v>
      </c>
      <c r="C596" s="95">
        <v>2022</v>
      </c>
      <c r="D596" s="96">
        <v>0.4</v>
      </c>
      <c r="E596" s="96"/>
      <c r="F596" s="97">
        <v>5</v>
      </c>
      <c r="G596" s="98">
        <v>12.01445</v>
      </c>
      <c r="H596" s="147"/>
    </row>
    <row r="597" spans="1:8" x14ac:dyDescent="0.25">
      <c r="A597" s="105" t="s">
        <v>5</v>
      </c>
      <c r="B597" s="94" t="s">
        <v>117</v>
      </c>
      <c r="C597" s="95">
        <v>2022</v>
      </c>
      <c r="D597" s="96">
        <v>0.4</v>
      </c>
      <c r="E597" s="96"/>
      <c r="F597" s="97">
        <v>5</v>
      </c>
      <c r="G597" s="98">
        <v>12.01445</v>
      </c>
      <c r="H597" s="147"/>
    </row>
    <row r="598" spans="1:8" x14ac:dyDescent="0.25">
      <c r="A598" s="105" t="s">
        <v>5</v>
      </c>
      <c r="B598" s="94" t="s">
        <v>393</v>
      </c>
      <c r="C598" s="95">
        <v>2022</v>
      </c>
      <c r="D598" s="96">
        <v>0.4</v>
      </c>
      <c r="E598" s="96"/>
      <c r="F598" s="97">
        <v>2</v>
      </c>
      <c r="G598" s="98">
        <v>12.01445</v>
      </c>
      <c r="H598" s="147"/>
    </row>
    <row r="599" spans="1:8" x14ac:dyDescent="0.25">
      <c r="A599" s="105" t="s">
        <v>13</v>
      </c>
      <c r="B599" s="94" t="s">
        <v>116</v>
      </c>
      <c r="C599" s="95">
        <v>2022</v>
      </c>
      <c r="D599" s="96">
        <v>0.4</v>
      </c>
      <c r="E599" s="96"/>
      <c r="F599" s="97">
        <v>15</v>
      </c>
      <c r="G599" s="106">
        <v>28.521450000000002</v>
      </c>
      <c r="H599" s="147"/>
    </row>
    <row r="600" spans="1:8" x14ac:dyDescent="0.25">
      <c r="A600" s="105" t="s">
        <v>5</v>
      </c>
      <c r="B600" s="94" t="s">
        <v>391</v>
      </c>
      <c r="C600" s="95">
        <v>2022</v>
      </c>
      <c r="D600" s="96">
        <v>0.4</v>
      </c>
      <c r="E600" s="96"/>
      <c r="F600" s="97">
        <v>5</v>
      </c>
      <c r="G600" s="101">
        <v>29.522740000000002</v>
      </c>
      <c r="H600" s="147"/>
    </row>
    <row r="601" spans="1:8" x14ac:dyDescent="0.25">
      <c r="A601" s="105" t="s">
        <v>13</v>
      </c>
      <c r="B601" s="94" t="s">
        <v>570</v>
      </c>
      <c r="C601" s="95">
        <v>2022</v>
      </c>
      <c r="D601" s="96">
        <v>0.4</v>
      </c>
      <c r="E601" s="96"/>
      <c r="F601" s="97">
        <v>15</v>
      </c>
      <c r="G601" s="106">
        <v>23.396235000000001</v>
      </c>
      <c r="H601" s="147"/>
    </row>
    <row r="602" spans="1:8" x14ac:dyDescent="0.25">
      <c r="A602" s="105" t="s">
        <v>13</v>
      </c>
      <c r="B602" s="94" t="s">
        <v>115</v>
      </c>
      <c r="C602" s="95">
        <v>2022</v>
      </c>
      <c r="D602" s="96">
        <v>0.4</v>
      </c>
      <c r="E602" s="96"/>
      <c r="F602" s="97">
        <v>15</v>
      </c>
      <c r="G602" s="106">
        <v>23.396235000000001</v>
      </c>
      <c r="H602" s="147"/>
    </row>
    <row r="603" spans="1:8" x14ac:dyDescent="0.25">
      <c r="A603" s="105" t="s">
        <v>13</v>
      </c>
      <c r="B603" s="94" t="s">
        <v>114</v>
      </c>
      <c r="C603" s="95">
        <v>2022</v>
      </c>
      <c r="D603" s="96">
        <v>0.4</v>
      </c>
      <c r="E603" s="96"/>
      <c r="F603" s="97">
        <v>15</v>
      </c>
      <c r="G603" s="106">
        <v>25.19406</v>
      </c>
      <c r="H603" s="147"/>
    </row>
    <row r="604" spans="1:8" x14ac:dyDescent="0.25">
      <c r="A604" s="105" t="s">
        <v>13</v>
      </c>
      <c r="B604" s="94" t="s">
        <v>113</v>
      </c>
      <c r="C604" s="95">
        <v>2022</v>
      </c>
      <c r="D604" s="96">
        <v>0.4</v>
      </c>
      <c r="E604" s="96"/>
      <c r="F604" s="97">
        <v>15</v>
      </c>
      <c r="G604" s="106">
        <v>26.988</v>
      </c>
      <c r="H604" s="147"/>
    </row>
    <row r="605" spans="1:8" x14ac:dyDescent="0.25">
      <c r="A605" s="105" t="s">
        <v>13</v>
      </c>
      <c r="B605" s="94" t="s">
        <v>112</v>
      </c>
      <c r="C605" s="95">
        <v>2022</v>
      </c>
      <c r="D605" s="96">
        <v>0.4</v>
      </c>
      <c r="E605" s="96"/>
      <c r="F605" s="97">
        <v>15</v>
      </c>
      <c r="G605" s="106">
        <v>25.33764</v>
      </c>
      <c r="H605" s="147"/>
    </row>
    <row r="606" spans="1:8" x14ac:dyDescent="0.25">
      <c r="A606" s="105" t="s">
        <v>13</v>
      </c>
      <c r="B606" s="94" t="s">
        <v>569</v>
      </c>
      <c r="C606" s="95">
        <v>2022</v>
      </c>
      <c r="D606" s="96">
        <v>0.4</v>
      </c>
      <c r="E606" s="96"/>
      <c r="F606" s="97">
        <v>15</v>
      </c>
      <c r="G606" s="106">
        <v>30.170950000000001</v>
      </c>
      <c r="H606" s="147"/>
    </row>
    <row r="607" spans="1:8" x14ac:dyDescent="0.25">
      <c r="A607" s="105" t="s">
        <v>13</v>
      </c>
      <c r="B607" s="94" t="s">
        <v>569</v>
      </c>
      <c r="C607" s="95">
        <v>2022</v>
      </c>
      <c r="D607" s="96">
        <v>0.4</v>
      </c>
      <c r="E607" s="96"/>
      <c r="F607" s="97">
        <v>15</v>
      </c>
      <c r="G607" s="106">
        <v>30.170950000000001</v>
      </c>
      <c r="H607" s="147"/>
    </row>
    <row r="608" spans="1:8" x14ac:dyDescent="0.25">
      <c r="A608" s="105" t="s">
        <v>13</v>
      </c>
      <c r="B608" s="94" t="s">
        <v>111</v>
      </c>
      <c r="C608" s="95">
        <v>2022</v>
      </c>
      <c r="D608" s="96">
        <v>0.4</v>
      </c>
      <c r="E608" s="96"/>
      <c r="F608" s="97">
        <v>15</v>
      </c>
      <c r="G608" s="106">
        <v>25.28098</v>
      </c>
      <c r="H608" s="147"/>
    </row>
    <row r="609" spans="1:8" x14ac:dyDescent="0.25">
      <c r="A609" s="105" t="s">
        <v>13</v>
      </c>
      <c r="B609" s="94" t="s">
        <v>110</v>
      </c>
      <c r="C609" s="95">
        <v>2022</v>
      </c>
      <c r="D609" s="96">
        <v>0.4</v>
      </c>
      <c r="E609" s="96"/>
      <c r="F609" s="97">
        <v>15</v>
      </c>
      <c r="G609" s="106">
        <v>26.770820000000001</v>
      </c>
      <c r="H609" s="147"/>
    </row>
    <row r="610" spans="1:8" x14ac:dyDescent="0.25">
      <c r="A610" s="105" t="s">
        <v>13</v>
      </c>
      <c r="B610" s="94" t="s">
        <v>109</v>
      </c>
      <c r="C610" s="95">
        <v>2022</v>
      </c>
      <c r="D610" s="96">
        <v>0.4</v>
      </c>
      <c r="E610" s="96"/>
      <c r="F610" s="97">
        <v>15</v>
      </c>
      <c r="G610" s="106">
        <v>24.61083</v>
      </c>
      <c r="H610" s="147"/>
    </row>
    <row r="611" spans="1:8" x14ac:dyDescent="0.25">
      <c r="A611" s="105" t="s">
        <v>5</v>
      </c>
      <c r="B611" s="94" t="s">
        <v>394</v>
      </c>
      <c r="C611" s="95">
        <v>2022</v>
      </c>
      <c r="D611" s="96">
        <v>0.4</v>
      </c>
      <c r="E611" s="96"/>
      <c r="F611" s="97">
        <v>5</v>
      </c>
      <c r="G611" s="109">
        <v>29.522749999999998</v>
      </c>
      <c r="H611" s="147"/>
    </row>
    <row r="612" spans="1:8" x14ac:dyDescent="0.25">
      <c r="A612" s="105" t="s">
        <v>5</v>
      </c>
      <c r="B612" s="94" t="s">
        <v>568</v>
      </c>
      <c r="C612" s="95">
        <v>2022</v>
      </c>
      <c r="D612" s="96">
        <v>0.4</v>
      </c>
      <c r="E612" s="96"/>
      <c r="F612" s="97">
        <v>5</v>
      </c>
      <c r="G612" s="106">
        <v>13.447683333333334</v>
      </c>
      <c r="H612" s="147"/>
    </row>
    <row r="613" spans="1:8" x14ac:dyDescent="0.25">
      <c r="A613" s="105" t="s">
        <v>5</v>
      </c>
      <c r="B613" s="94" t="s">
        <v>568</v>
      </c>
      <c r="C613" s="95">
        <v>2022</v>
      </c>
      <c r="D613" s="96">
        <v>0.4</v>
      </c>
      <c r="E613" s="96"/>
      <c r="F613" s="97">
        <v>5</v>
      </c>
      <c r="G613" s="106">
        <v>13.447683333333334</v>
      </c>
      <c r="H613" s="147"/>
    </row>
    <row r="614" spans="1:8" x14ac:dyDescent="0.25">
      <c r="A614" s="105" t="s">
        <v>5</v>
      </c>
      <c r="B614" s="94" t="s">
        <v>568</v>
      </c>
      <c r="C614" s="95">
        <v>2022</v>
      </c>
      <c r="D614" s="96">
        <v>0.4</v>
      </c>
      <c r="E614" s="96"/>
      <c r="F614" s="97">
        <v>5</v>
      </c>
      <c r="G614" s="106">
        <v>13.447683333333334</v>
      </c>
      <c r="H614" s="147"/>
    </row>
    <row r="615" spans="1:8" x14ac:dyDescent="0.25">
      <c r="A615" s="105" t="s">
        <v>5</v>
      </c>
      <c r="B615" s="94" t="s">
        <v>568</v>
      </c>
      <c r="C615" s="95">
        <v>2022</v>
      </c>
      <c r="D615" s="96">
        <v>0.4</v>
      </c>
      <c r="E615" s="96"/>
      <c r="F615" s="97">
        <v>5</v>
      </c>
      <c r="G615" s="106">
        <v>13.447683333333334</v>
      </c>
      <c r="H615" s="147"/>
    </row>
    <row r="616" spans="1:8" x14ac:dyDescent="0.25">
      <c r="A616" s="105" t="s">
        <v>5</v>
      </c>
      <c r="B616" s="94" t="s">
        <v>568</v>
      </c>
      <c r="C616" s="95">
        <v>2022</v>
      </c>
      <c r="D616" s="96">
        <v>0.4</v>
      </c>
      <c r="E616" s="96"/>
      <c r="F616" s="97">
        <v>5</v>
      </c>
      <c r="G616" s="106">
        <v>13.447683333333334</v>
      </c>
      <c r="H616" s="147"/>
    </row>
    <row r="617" spans="1:8" x14ac:dyDescent="0.25">
      <c r="A617" s="105" t="s">
        <v>5</v>
      </c>
      <c r="B617" s="94" t="s">
        <v>568</v>
      </c>
      <c r="C617" s="95">
        <v>2022</v>
      </c>
      <c r="D617" s="96">
        <v>0.4</v>
      </c>
      <c r="E617" s="96"/>
      <c r="F617" s="97">
        <v>5</v>
      </c>
      <c r="G617" s="106">
        <v>13.447683333333334</v>
      </c>
      <c r="H617" s="147"/>
    </row>
    <row r="618" spans="1:8" x14ac:dyDescent="0.25">
      <c r="A618" s="105" t="s">
        <v>13</v>
      </c>
      <c r="B618" s="94" t="s">
        <v>108</v>
      </c>
      <c r="C618" s="95">
        <v>2022</v>
      </c>
      <c r="D618" s="96">
        <v>0.4</v>
      </c>
      <c r="E618" s="96"/>
      <c r="F618" s="97">
        <v>15</v>
      </c>
      <c r="G618" s="106">
        <v>25.379150000000003</v>
      </c>
      <c r="H618" s="147"/>
    </row>
    <row r="619" spans="1:8" x14ac:dyDescent="0.25">
      <c r="A619" s="105" t="s">
        <v>13</v>
      </c>
      <c r="B619" s="94" t="s">
        <v>107</v>
      </c>
      <c r="C619" s="95">
        <v>2022</v>
      </c>
      <c r="D619" s="96">
        <v>0.4</v>
      </c>
      <c r="E619" s="96"/>
      <c r="F619" s="97">
        <v>15</v>
      </c>
      <c r="G619" s="106">
        <v>25.172249999999998</v>
      </c>
      <c r="H619" s="147"/>
    </row>
    <row r="620" spans="1:8" x14ac:dyDescent="0.25">
      <c r="A620" s="105" t="s">
        <v>13</v>
      </c>
      <c r="B620" s="94" t="s">
        <v>106</v>
      </c>
      <c r="C620" s="95">
        <v>2022</v>
      </c>
      <c r="D620" s="96">
        <v>0.4</v>
      </c>
      <c r="E620" s="96"/>
      <c r="F620" s="97">
        <v>15</v>
      </c>
      <c r="G620" s="106">
        <v>25.172249999999998</v>
      </c>
      <c r="H620" s="147"/>
    </row>
    <row r="621" spans="1:8" x14ac:dyDescent="0.25">
      <c r="A621" s="105" t="s">
        <v>13</v>
      </c>
      <c r="B621" s="94" t="s">
        <v>105</v>
      </c>
      <c r="C621" s="95">
        <v>2022</v>
      </c>
      <c r="D621" s="96">
        <v>0.4</v>
      </c>
      <c r="E621" s="96"/>
      <c r="F621" s="97">
        <v>15</v>
      </c>
      <c r="G621" s="106">
        <v>25.172249999999998</v>
      </c>
      <c r="H621" s="147"/>
    </row>
    <row r="622" spans="1:8" x14ac:dyDescent="0.25">
      <c r="A622" s="105" t="s">
        <v>13</v>
      </c>
      <c r="B622" s="94" t="s">
        <v>104</v>
      </c>
      <c r="C622" s="95">
        <v>2022</v>
      </c>
      <c r="D622" s="96">
        <v>0.4</v>
      </c>
      <c r="E622" s="96"/>
      <c r="F622" s="97">
        <v>15</v>
      </c>
      <c r="G622" s="106">
        <v>25.172249999999998</v>
      </c>
      <c r="H622" s="147"/>
    </row>
    <row r="623" spans="1:8" x14ac:dyDescent="0.25">
      <c r="A623" s="105" t="s">
        <v>13</v>
      </c>
      <c r="B623" s="94" t="s">
        <v>103</v>
      </c>
      <c r="C623" s="95">
        <v>2022</v>
      </c>
      <c r="D623" s="96">
        <v>0.4</v>
      </c>
      <c r="E623" s="96"/>
      <c r="F623" s="97">
        <v>15</v>
      </c>
      <c r="G623" s="106">
        <v>24.27786</v>
      </c>
      <c r="H623" s="147"/>
    </row>
    <row r="624" spans="1:8" x14ac:dyDescent="0.25">
      <c r="A624" s="105" t="s">
        <v>13</v>
      </c>
      <c r="B624" s="94" t="s">
        <v>102</v>
      </c>
      <c r="C624" s="95">
        <v>2022</v>
      </c>
      <c r="D624" s="96">
        <v>0.4</v>
      </c>
      <c r="E624" s="96"/>
      <c r="F624" s="97">
        <v>15</v>
      </c>
      <c r="G624" s="106">
        <v>25.299509999999998</v>
      </c>
      <c r="H624" s="147"/>
    </row>
    <row r="625" spans="1:8" x14ac:dyDescent="0.25">
      <c r="A625" s="105" t="s">
        <v>13</v>
      </c>
      <c r="B625" s="94" t="s">
        <v>686</v>
      </c>
      <c r="C625" s="95">
        <v>2022</v>
      </c>
      <c r="D625" s="96">
        <v>0.4</v>
      </c>
      <c r="E625" s="96"/>
      <c r="F625" s="97">
        <v>8</v>
      </c>
      <c r="G625" s="106">
        <v>26.300830000000001</v>
      </c>
      <c r="H625" s="147"/>
    </row>
    <row r="626" spans="1:8" x14ac:dyDescent="0.25">
      <c r="A626" s="105" t="s">
        <v>13</v>
      </c>
      <c r="B626" s="94" t="s">
        <v>101</v>
      </c>
      <c r="C626" s="95">
        <v>2022</v>
      </c>
      <c r="D626" s="96">
        <v>0.4</v>
      </c>
      <c r="E626" s="96"/>
      <c r="F626" s="97">
        <v>15</v>
      </c>
      <c r="G626" s="106">
        <v>51.980499999999999</v>
      </c>
      <c r="H626" s="147"/>
    </row>
    <row r="627" spans="1:8" x14ac:dyDescent="0.25">
      <c r="A627" s="105" t="s">
        <v>13</v>
      </c>
      <c r="B627" s="94" t="s">
        <v>100</v>
      </c>
      <c r="C627" s="95">
        <v>2022</v>
      </c>
      <c r="D627" s="96">
        <v>0.4</v>
      </c>
      <c r="E627" s="96"/>
      <c r="F627" s="97">
        <v>15</v>
      </c>
      <c r="G627" s="106">
        <v>46.388800000000003</v>
      </c>
      <c r="H627" s="147"/>
    </row>
    <row r="628" spans="1:8" x14ac:dyDescent="0.25">
      <c r="A628" s="105" t="s">
        <v>13</v>
      </c>
      <c r="B628" s="94" t="s">
        <v>99</v>
      </c>
      <c r="C628" s="95">
        <v>2022</v>
      </c>
      <c r="D628" s="96">
        <v>0.4</v>
      </c>
      <c r="E628" s="96"/>
      <c r="F628" s="97">
        <v>15</v>
      </c>
      <c r="G628" s="106">
        <v>23.661440000000002</v>
      </c>
      <c r="H628" s="147"/>
    </row>
    <row r="629" spans="1:8" x14ac:dyDescent="0.25">
      <c r="A629" s="105" t="s">
        <v>13</v>
      </c>
      <c r="B629" s="94" t="s">
        <v>98</v>
      </c>
      <c r="C629" s="95">
        <v>2022</v>
      </c>
      <c r="D629" s="96">
        <v>0.4</v>
      </c>
      <c r="E629" s="96"/>
      <c r="F629" s="97">
        <v>15</v>
      </c>
      <c r="G629" s="106">
        <v>25.33765</v>
      </c>
      <c r="H629" s="147"/>
    </row>
    <row r="630" spans="1:8" x14ac:dyDescent="0.25">
      <c r="A630" s="105" t="s">
        <v>13</v>
      </c>
      <c r="B630" s="94" t="s">
        <v>97</v>
      </c>
      <c r="C630" s="95">
        <v>2022</v>
      </c>
      <c r="D630" s="96">
        <v>0.4</v>
      </c>
      <c r="E630" s="96"/>
      <c r="F630" s="97">
        <v>15</v>
      </c>
      <c r="G630" s="106">
        <v>25.33765</v>
      </c>
      <c r="H630" s="147"/>
    </row>
    <row r="631" spans="1:8" x14ac:dyDescent="0.25">
      <c r="A631" s="105" t="s">
        <v>13</v>
      </c>
      <c r="B631" s="94" t="s">
        <v>96</v>
      </c>
      <c r="C631" s="95">
        <v>2022</v>
      </c>
      <c r="D631" s="96">
        <v>0.4</v>
      </c>
      <c r="E631" s="96"/>
      <c r="F631" s="97">
        <v>15</v>
      </c>
      <c r="G631" s="106">
        <v>26.612779999999997</v>
      </c>
      <c r="H631" s="147"/>
    </row>
    <row r="632" spans="1:8" x14ac:dyDescent="0.25">
      <c r="A632" s="105" t="s">
        <v>5</v>
      </c>
      <c r="B632" s="94" t="s">
        <v>95</v>
      </c>
      <c r="C632" s="95">
        <v>2022</v>
      </c>
      <c r="D632" s="96">
        <v>0.4</v>
      </c>
      <c r="E632" s="96"/>
      <c r="F632" s="97">
        <v>5</v>
      </c>
      <c r="G632" s="98">
        <v>26.612779999999997</v>
      </c>
      <c r="H632" s="147"/>
    </row>
    <row r="633" spans="1:8" x14ac:dyDescent="0.25">
      <c r="A633" s="105" t="s">
        <v>13</v>
      </c>
      <c r="B633" s="94" t="s">
        <v>94</v>
      </c>
      <c r="C633" s="95">
        <v>2022</v>
      </c>
      <c r="D633" s="96">
        <v>0.4</v>
      </c>
      <c r="E633" s="96"/>
      <c r="F633" s="97">
        <v>15</v>
      </c>
      <c r="G633" s="106">
        <v>14.787780000000001</v>
      </c>
      <c r="H633" s="147"/>
    </row>
    <row r="634" spans="1:8" x14ac:dyDescent="0.25">
      <c r="A634" s="105" t="s">
        <v>5</v>
      </c>
      <c r="B634" s="94" t="s">
        <v>93</v>
      </c>
      <c r="C634" s="95">
        <v>2022</v>
      </c>
      <c r="D634" s="96">
        <v>0.4</v>
      </c>
      <c r="E634" s="96"/>
      <c r="F634" s="97">
        <v>5</v>
      </c>
      <c r="G634" s="98">
        <v>14.673440000000001</v>
      </c>
      <c r="H634" s="147"/>
    </row>
    <row r="635" spans="1:8" x14ac:dyDescent="0.25">
      <c r="A635" s="105" t="s">
        <v>13</v>
      </c>
      <c r="B635" s="94" t="s">
        <v>92</v>
      </c>
      <c r="C635" s="95">
        <v>2022</v>
      </c>
      <c r="D635" s="96">
        <v>0.4</v>
      </c>
      <c r="E635" s="96"/>
      <c r="F635" s="97">
        <v>15</v>
      </c>
      <c r="G635" s="106">
        <v>27.066490000000002</v>
      </c>
      <c r="H635" s="147"/>
    </row>
    <row r="636" spans="1:8" x14ac:dyDescent="0.25">
      <c r="A636" s="105" t="s">
        <v>13</v>
      </c>
      <c r="B636" s="94" t="s">
        <v>91</v>
      </c>
      <c r="C636" s="95">
        <v>2022</v>
      </c>
      <c r="D636" s="96">
        <v>0.4</v>
      </c>
      <c r="E636" s="96"/>
      <c r="F636" s="97">
        <v>15</v>
      </c>
      <c r="G636" s="106">
        <v>25.43534</v>
      </c>
      <c r="H636" s="147"/>
    </row>
    <row r="637" spans="1:8" x14ac:dyDescent="0.25">
      <c r="A637" s="105" t="s">
        <v>13</v>
      </c>
      <c r="B637" s="94" t="s">
        <v>90</v>
      </c>
      <c r="C637" s="95">
        <v>2022</v>
      </c>
      <c r="D637" s="96">
        <v>0.4</v>
      </c>
      <c r="E637" s="96"/>
      <c r="F637" s="97">
        <v>10</v>
      </c>
      <c r="G637" s="108">
        <v>28.255500000000001</v>
      </c>
      <c r="H637" s="147"/>
    </row>
    <row r="638" spans="1:8" x14ac:dyDescent="0.25">
      <c r="A638" s="105" t="s">
        <v>5</v>
      </c>
      <c r="B638" s="94" t="s">
        <v>89</v>
      </c>
      <c r="C638" s="95">
        <v>2022</v>
      </c>
      <c r="D638" s="96">
        <v>0.4</v>
      </c>
      <c r="E638" s="96"/>
      <c r="F638" s="97">
        <v>5</v>
      </c>
      <c r="G638" s="98">
        <v>13.152379999999999</v>
      </c>
      <c r="H638" s="147"/>
    </row>
    <row r="639" spans="1:8" x14ac:dyDescent="0.25">
      <c r="A639" s="105" t="s">
        <v>5</v>
      </c>
      <c r="B639" s="94" t="s">
        <v>689</v>
      </c>
      <c r="C639" s="95">
        <v>2022</v>
      </c>
      <c r="D639" s="96">
        <v>0.4</v>
      </c>
      <c r="E639" s="96"/>
      <c r="F639" s="97">
        <v>5</v>
      </c>
      <c r="G639" s="98">
        <v>14.48039</v>
      </c>
      <c r="H639" s="147"/>
    </row>
    <row r="640" spans="1:8" x14ac:dyDescent="0.25">
      <c r="A640" s="105" t="s">
        <v>5</v>
      </c>
      <c r="B640" s="94" t="s">
        <v>689</v>
      </c>
      <c r="C640" s="95">
        <v>2022</v>
      </c>
      <c r="D640" s="96">
        <v>0.4</v>
      </c>
      <c r="E640" s="96"/>
      <c r="F640" s="97">
        <v>5</v>
      </c>
      <c r="G640" s="98">
        <v>14.480399999999999</v>
      </c>
      <c r="H640" s="147"/>
    </row>
    <row r="641" spans="1:8" x14ac:dyDescent="0.25">
      <c r="A641" s="105" t="s">
        <v>5</v>
      </c>
      <c r="B641" s="94" t="s">
        <v>689</v>
      </c>
      <c r="C641" s="95">
        <v>2022</v>
      </c>
      <c r="D641" s="96">
        <v>0.4</v>
      </c>
      <c r="E641" s="96"/>
      <c r="F641" s="97">
        <v>5</v>
      </c>
      <c r="G641" s="98">
        <v>14.48039</v>
      </c>
      <c r="H641" s="147"/>
    </row>
    <row r="642" spans="1:8" x14ac:dyDescent="0.25">
      <c r="A642" s="105" t="s">
        <v>5</v>
      </c>
      <c r="B642" s="94" t="s">
        <v>689</v>
      </c>
      <c r="C642" s="95">
        <v>2022</v>
      </c>
      <c r="D642" s="96">
        <v>0.4</v>
      </c>
      <c r="E642" s="96"/>
      <c r="F642" s="97">
        <v>5</v>
      </c>
      <c r="G642" s="98">
        <v>13.949549999999999</v>
      </c>
      <c r="H642" s="147"/>
    </row>
    <row r="643" spans="1:8" x14ac:dyDescent="0.25">
      <c r="A643" s="105" t="s">
        <v>5</v>
      </c>
      <c r="B643" s="94" t="s">
        <v>689</v>
      </c>
      <c r="C643" s="95">
        <v>2022</v>
      </c>
      <c r="D643" s="96">
        <v>0.4</v>
      </c>
      <c r="E643" s="96"/>
      <c r="F643" s="97">
        <v>5</v>
      </c>
      <c r="G643" s="98">
        <v>13.97955</v>
      </c>
      <c r="H643" s="147"/>
    </row>
    <row r="644" spans="1:8" x14ac:dyDescent="0.25">
      <c r="A644" s="105" t="s">
        <v>5</v>
      </c>
      <c r="B644" s="94" t="s">
        <v>689</v>
      </c>
      <c r="C644" s="95">
        <v>2022</v>
      </c>
      <c r="D644" s="96">
        <v>0.4</v>
      </c>
      <c r="E644" s="96"/>
      <c r="F644" s="97">
        <v>5</v>
      </c>
      <c r="G644" s="98">
        <v>14.061219999999999</v>
      </c>
      <c r="H644" s="147"/>
    </row>
    <row r="645" spans="1:8" x14ac:dyDescent="0.25">
      <c r="A645" s="105" t="s">
        <v>5</v>
      </c>
      <c r="B645" s="94" t="s">
        <v>689</v>
      </c>
      <c r="C645" s="95">
        <v>2022</v>
      </c>
      <c r="D645" s="96">
        <v>0.4</v>
      </c>
      <c r="E645" s="96"/>
      <c r="F645" s="97">
        <v>5</v>
      </c>
      <c r="G645" s="98">
        <v>14.29622</v>
      </c>
      <c r="H645" s="147"/>
    </row>
    <row r="646" spans="1:8" x14ac:dyDescent="0.25">
      <c r="A646" s="105" t="s">
        <v>5</v>
      </c>
      <c r="B646" s="94" t="s">
        <v>689</v>
      </c>
      <c r="C646" s="95">
        <v>2022</v>
      </c>
      <c r="D646" s="96">
        <v>0.4</v>
      </c>
      <c r="E646" s="96"/>
      <c r="F646" s="97">
        <v>5</v>
      </c>
      <c r="G646" s="98">
        <v>14.3904</v>
      </c>
      <c r="H646" s="147"/>
    </row>
    <row r="647" spans="1:8" x14ac:dyDescent="0.25">
      <c r="A647" s="105" t="s">
        <v>5</v>
      </c>
      <c r="B647" s="94" t="s">
        <v>689</v>
      </c>
      <c r="C647" s="95">
        <v>2022</v>
      </c>
      <c r="D647" s="96">
        <v>0.4</v>
      </c>
      <c r="E647" s="96"/>
      <c r="F647" s="97">
        <v>5</v>
      </c>
      <c r="G647" s="98">
        <v>14.337899999999999</v>
      </c>
      <c r="H647" s="147"/>
    </row>
    <row r="648" spans="1:8" x14ac:dyDescent="0.25">
      <c r="A648" s="105" t="s">
        <v>5</v>
      </c>
      <c r="B648" s="94" t="s">
        <v>88</v>
      </c>
      <c r="C648" s="95">
        <v>2022</v>
      </c>
      <c r="D648" s="96">
        <v>0.4</v>
      </c>
      <c r="E648" s="96"/>
      <c r="F648" s="97">
        <v>5</v>
      </c>
      <c r="G648" s="98">
        <v>12.83817</v>
      </c>
      <c r="H648" s="147"/>
    </row>
    <row r="649" spans="1:8" x14ac:dyDescent="0.25">
      <c r="A649" s="105" t="s">
        <v>13</v>
      </c>
      <c r="B649" s="94" t="s">
        <v>87</v>
      </c>
      <c r="C649" s="95">
        <v>2022</v>
      </c>
      <c r="D649" s="96">
        <v>0.4</v>
      </c>
      <c r="E649" s="96"/>
      <c r="F649" s="97">
        <v>15</v>
      </c>
      <c r="G649" s="106">
        <v>46.779660000000007</v>
      </c>
      <c r="H649" s="147"/>
    </row>
    <row r="650" spans="1:8" x14ac:dyDescent="0.25">
      <c r="A650" s="105" t="s">
        <v>5</v>
      </c>
      <c r="B650" s="94" t="s">
        <v>63</v>
      </c>
      <c r="C650" s="95">
        <v>2022</v>
      </c>
      <c r="D650" s="96">
        <v>0.4</v>
      </c>
      <c r="E650" s="96"/>
      <c r="F650" s="97">
        <v>5</v>
      </c>
      <c r="G650" s="98">
        <v>13.05903</v>
      </c>
      <c r="H650" s="147"/>
    </row>
    <row r="651" spans="1:8" x14ac:dyDescent="0.25">
      <c r="A651" s="105" t="s">
        <v>13</v>
      </c>
      <c r="B651" s="94" t="s">
        <v>86</v>
      </c>
      <c r="C651" s="95">
        <v>2022</v>
      </c>
      <c r="D651" s="96">
        <v>0.4</v>
      </c>
      <c r="E651" s="96"/>
      <c r="F651" s="97">
        <v>15</v>
      </c>
      <c r="G651" s="106">
        <v>25.59965</v>
      </c>
      <c r="H651" s="147"/>
    </row>
    <row r="652" spans="1:8" x14ac:dyDescent="0.25">
      <c r="A652" s="105" t="s">
        <v>13</v>
      </c>
      <c r="B652" s="94" t="s">
        <v>85</v>
      </c>
      <c r="C652" s="95">
        <v>2022</v>
      </c>
      <c r="D652" s="96">
        <v>0.4</v>
      </c>
      <c r="E652" s="96"/>
      <c r="F652" s="97">
        <v>15</v>
      </c>
      <c r="G652" s="106">
        <v>25.728660000000001</v>
      </c>
      <c r="H652" s="147"/>
    </row>
    <row r="653" spans="1:8" x14ac:dyDescent="0.25">
      <c r="A653" s="105" t="s">
        <v>13</v>
      </c>
      <c r="B653" s="94" t="s">
        <v>84</v>
      </c>
      <c r="C653" s="95">
        <v>2022</v>
      </c>
      <c r="D653" s="96">
        <v>0.4</v>
      </c>
      <c r="E653" s="96"/>
      <c r="F653" s="97">
        <v>15</v>
      </c>
      <c r="G653" s="106">
        <v>25.367650000000001</v>
      </c>
      <c r="H653" s="147"/>
    </row>
    <row r="654" spans="1:8" x14ac:dyDescent="0.25">
      <c r="A654" s="105" t="s">
        <v>13</v>
      </c>
      <c r="B654" s="94" t="s">
        <v>83</v>
      </c>
      <c r="C654" s="95">
        <v>2022</v>
      </c>
      <c r="D654" s="96">
        <v>0.4</v>
      </c>
      <c r="E654" s="96"/>
      <c r="F654" s="97">
        <v>15</v>
      </c>
      <c r="G654" s="106">
        <v>49.015500000000003</v>
      </c>
      <c r="H654" s="147"/>
    </row>
    <row r="655" spans="1:8" x14ac:dyDescent="0.25">
      <c r="A655" s="105" t="s">
        <v>13</v>
      </c>
      <c r="B655" s="94" t="s">
        <v>82</v>
      </c>
      <c r="C655" s="95">
        <v>2022</v>
      </c>
      <c r="D655" s="96">
        <v>0.4</v>
      </c>
      <c r="E655" s="96"/>
      <c r="F655" s="97">
        <v>15</v>
      </c>
      <c r="G655" s="106">
        <v>25.59967</v>
      </c>
      <c r="H655" s="147"/>
    </row>
    <row r="656" spans="1:8" x14ac:dyDescent="0.25">
      <c r="A656" s="105" t="s">
        <v>13</v>
      </c>
      <c r="B656" s="94" t="s">
        <v>81</v>
      </c>
      <c r="C656" s="95">
        <v>2022</v>
      </c>
      <c r="D656" s="96">
        <v>0.4</v>
      </c>
      <c r="E656" s="96"/>
      <c r="F656" s="97">
        <v>15</v>
      </c>
      <c r="G656" s="106">
        <v>25.36431</v>
      </c>
      <c r="H656" s="147"/>
    </row>
    <row r="657" spans="1:8" x14ac:dyDescent="0.25">
      <c r="A657" s="105" t="s">
        <v>5</v>
      </c>
      <c r="B657" s="94" t="s">
        <v>80</v>
      </c>
      <c r="C657" s="95">
        <v>2022</v>
      </c>
      <c r="D657" s="96">
        <v>0.4</v>
      </c>
      <c r="E657" s="96"/>
      <c r="F657" s="97">
        <v>5</v>
      </c>
      <c r="G657" s="98">
        <v>13.093209999999999</v>
      </c>
      <c r="H657" s="147"/>
    </row>
    <row r="658" spans="1:8" x14ac:dyDescent="0.25">
      <c r="A658" s="105" t="s">
        <v>5</v>
      </c>
      <c r="B658" s="110" t="s">
        <v>89</v>
      </c>
      <c r="C658" s="95">
        <v>2022</v>
      </c>
      <c r="D658" s="96">
        <v>0.4</v>
      </c>
      <c r="E658" s="96"/>
      <c r="F658" s="111">
        <v>5</v>
      </c>
      <c r="G658" s="101">
        <v>13.313600000000001</v>
      </c>
      <c r="H658" s="147"/>
    </row>
    <row r="659" spans="1:8" x14ac:dyDescent="0.25">
      <c r="A659" s="105" t="s">
        <v>13</v>
      </c>
      <c r="B659" s="94" t="s">
        <v>79</v>
      </c>
      <c r="C659" s="95">
        <v>2022</v>
      </c>
      <c r="D659" s="96">
        <v>0.4</v>
      </c>
      <c r="E659" s="96"/>
      <c r="F659" s="97">
        <v>15</v>
      </c>
      <c r="G659" s="106">
        <v>25.33766</v>
      </c>
      <c r="H659" s="147"/>
    </row>
    <row r="660" spans="1:8" x14ac:dyDescent="0.25">
      <c r="A660" s="105" t="s">
        <v>5</v>
      </c>
      <c r="B660" s="94" t="s">
        <v>78</v>
      </c>
      <c r="C660" s="95">
        <v>2022</v>
      </c>
      <c r="D660" s="96">
        <v>0.4</v>
      </c>
      <c r="E660" s="96"/>
      <c r="F660" s="97">
        <v>5</v>
      </c>
      <c r="G660" s="98">
        <v>15.743</v>
      </c>
      <c r="H660" s="147"/>
    </row>
    <row r="661" spans="1:8" x14ac:dyDescent="0.25">
      <c r="A661" s="105" t="s">
        <v>13</v>
      </c>
      <c r="B661" s="94" t="s">
        <v>77</v>
      </c>
      <c r="C661" s="95">
        <v>2022</v>
      </c>
      <c r="D661" s="96">
        <v>0.4</v>
      </c>
      <c r="E661" s="96"/>
      <c r="F661" s="97">
        <v>15</v>
      </c>
      <c r="G661" s="106">
        <v>46.479669999999999</v>
      </c>
      <c r="H661" s="147"/>
    </row>
    <row r="662" spans="1:8" x14ac:dyDescent="0.25">
      <c r="A662" s="105" t="s">
        <v>13</v>
      </c>
      <c r="B662" s="94" t="s">
        <v>76</v>
      </c>
      <c r="C662" s="95">
        <v>2022</v>
      </c>
      <c r="D662" s="96">
        <v>0.4</v>
      </c>
      <c r="E662" s="96"/>
      <c r="F662" s="97">
        <v>15</v>
      </c>
      <c r="G662" s="106">
        <v>25.16667</v>
      </c>
      <c r="H662" s="147"/>
    </row>
    <row r="663" spans="1:8" x14ac:dyDescent="0.25">
      <c r="A663" s="105" t="s">
        <v>13</v>
      </c>
      <c r="B663" s="94" t="s">
        <v>75</v>
      </c>
      <c r="C663" s="95">
        <v>2022</v>
      </c>
      <c r="D663" s="96">
        <v>0.4</v>
      </c>
      <c r="E663" s="96"/>
      <c r="F663" s="97">
        <v>15</v>
      </c>
      <c r="G663" s="106">
        <v>25.36431</v>
      </c>
      <c r="H663" s="147"/>
    </row>
    <row r="664" spans="1:8" x14ac:dyDescent="0.25">
      <c r="A664" s="105" t="s">
        <v>5</v>
      </c>
      <c r="B664" s="94" t="s">
        <v>74</v>
      </c>
      <c r="C664" s="95">
        <v>2022</v>
      </c>
      <c r="D664" s="96">
        <v>0.4</v>
      </c>
      <c r="E664" s="96"/>
      <c r="F664" s="97">
        <v>6</v>
      </c>
      <c r="G664" s="98">
        <v>27.326490000000003</v>
      </c>
      <c r="H664" s="147"/>
    </row>
    <row r="665" spans="1:8" x14ac:dyDescent="0.25">
      <c r="A665" s="105" t="s">
        <v>5</v>
      </c>
      <c r="B665" s="94" t="s">
        <v>73</v>
      </c>
      <c r="C665" s="95">
        <v>2022</v>
      </c>
      <c r="D665" s="96">
        <v>0.4</v>
      </c>
      <c r="E665" s="96"/>
      <c r="F665" s="97">
        <v>5</v>
      </c>
      <c r="G665" s="98">
        <v>12.868589999999999</v>
      </c>
      <c r="H665" s="147"/>
    </row>
    <row r="666" spans="1:8" x14ac:dyDescent="0.25">
      <c r="A666" s="105" t="s">
        <v>13</v>
      </c>
      <c r="B666" s="94" t="s">
        <v>72</v>
      </c>
      <c r="C666" s="95">
        <v>2022</v>
      </c>
      <c r="D666" s="96">
        <v>0.4</v>
      </c>
      <c r="E666" s="96"/>
      <c r="F666" s="97">
        <v>15</v>
      </c>
      <c r="G666" s="106">
        <v>25.45298</v>
      </c>
      <c r="H666" s="147"/>
    </row>
    <row r="667" spans="1:8" x14ac:dyDescent="0.25">
      <c r="A667" s="105" t="s">
        <v>5</v>
      </c>
      <c r="B667" s="94" t="s">
        <v>71</v>
      </c>
      <c r="C667" s="95">
        <v>2022</v>
      </c>
      <c r="D667" s="96">
        <v>0.4</v>
      </c>
      <c r="E667" s="96"/>
      <c r="F667" s="97">
        <v>5</v>
      </c>
      <c r="G667" s="98">
        <v>13.21067</v>
      </c>
      <c r="H667" s="147"/>
    </row>
    <row r="668" spans="1:8" x14ac:dyDescent="0.25">
      <c r="A668" s="105" t="s">
        <v>5</v>
      </c>
      <c r="B668" s="94" t="s">
        <v>70</v>
      </c>
      <c r="C668" s="95">
        <v>2022</v>
      </c>
      <c r="D668" s="96">
        <v>0.4</v>
      </c>
      <c r="E668" s="96"/>
      <c r="F668" s="97">
        <v>5</v>
      </c>
      <c r="G668" s="98">
        <v>13.10492</v>
      </c>
      <c r="H668" s="147"/>
    </row>
    <row r="669" spans="1:8" x14ac:dyDescent="0.25">
      <c r="A669" s="105" t="s">
        <v>5</v>
      </c>
      <c r="B669" s="94" t="s">
        <v>69</v>
      </c>
      <c r="C669" s="95">
        <v>2022</v>
      </c>
      <c r="D669" s="96">
        <v>0.4</v>
      </c>
      <c r="E669" s="96"/>
      <c r="F669" s="97">
        <v>5</v>
      </c>
      <c r="G669" s="98">
        <v>30.546529999999997</v>
      </c>
      <c r="H669" s="147"/>
    </row>
    <row r="670" spans="1:8" x14ac:dyDescent="0.25">
      <c r="A670" s="105" t="s">
        <v>5</v>
      </c>
      <c r="B670" s="94" t="s">
        <v>68</v>
      </c>
      <c r="C670" s="95">
        <v>2022</v>
      </c>
      <c r="D670" s="96">
        <v>0.4</v>
      </c>
      <c r="E670" s="96"/>
      <c r="F670" s="97">
        <v>5</v>
      </c>
      <c r="G670" s="98">
        <v>15.51618</v>
      </c>
      <c r="H670" s="147"/>
    </row>
    <row r="671" spans="1:8" x14ac:dyDescent="0.25">
      <c r="A671" s="105" t="s">
        <v>13</v>
      </c>
      <c r="B671" s="94" t="s">
        <v>67</v>
      </c>
      <c r="C671" s="95">
        <v>2022</v>
      </c>
      <c r="D671" s="96">
        <v>0.4</v>
      </c>
      <c r="E671" s="96"/>
      <c r="F671" s="97">
        <v>15</v>
      </c>
      <c r="G671" s="106">
        <v>25.44951</v>
      </c>
      <c r="H671" s="147"/>
    </row>
    <row r="672" spans="1:8" x14ac:dyDescent="0.25">
      <c r="A672" s="105" t="s">
        <v>13</v>
      </c>
      <c r="B672" s="94" t="s">
        <v>690</v>
      </c>
      <c r="C672" s="95">
        <v>2022</v>
      </c>
      <c r="D672" s="96">
        <v>0.4</v>
      </c>
      <c r="E672" s="96"/>
      <c r="F672" s="97">
        <v>10</v>
      </c>
      <c r="G672" s="106">
        <v>25.16667</v>
      </c>
      <c r="H672" s="147"/>
    </row>
    <row r="673" spans="1:8" x14ac:dyDescent="0.25">
      <c r="A673" s="105" t="s">
        <v>13</v>
      </c>
      <c r="B673" s="94" t="s">
        <v>691</v>
      </c>
      <c r="C673" s="95">
        <v>2022</v>
      </c>
      <c r="D673" s="96">
        <v>0.4</v>
      </c>
      <c r="E673" s="96"/>
      <c r="F673" s="97">
        <v>15</v>
      </c>
      <c r="G673" s="106">
        <v>25.422849999999997</v>
      </c>
      <c r="H673" s="147"/>
    </row>
    <row r="674" spans="1:8" x14ac:dyDescent="0.25">
      <c r="A674" s="105" t="s">
        <v>13</v>
      </c>
      <c r="B674" s="94" t="s">
        <v>66</v>
      </c>
      <c r="C674" s="95">
        <v>2022</v>
      </c>
      <c r="D674" s="96">
        <v>0.4</v>
      </c>
      <c r="E674" s="96"/>
      <c r="F674" s="97">
        <v>15</v>
      </c>
      <c r="G674" s="106">
        <v>27.188980000000001</v>
      </c>
      <c r="H674" s="147"/>
    </row>
    <row r="675" spans="1:8" x14ac:dyDescent="0.25">
      <c r="A675" s="105" t="s">
        <v>13</v>
      </c>
      <c r="B675" s="94" t="s">
        <v>65</v>
      </c>
      <c r="C675" s="95">
        <v>2022</v>
      </c>
      <c r="D675" s="96">
        <v>0.4</v>
      </c>
      <c r="E675" s="96"/>
      <c r="F675" s="97">
        <v>15</v>
      </c>
      <c r="G675" s="106">
        <v>27.326490000000003</v>
      </c>
      <c r="H675" s="147"/>
    </row>
    <row r="676" spans="1:8" x14ac:dyDescent="0.25">
      <c r="A676" s="105" t="s">
        <v>13</v>
      </c>
      <c r="B676" s="94" t="s">
        <v>692</v>
      </c>
      <c r="C676" s="95">
        <v>2022</v>
      </c>
      <c r="D676" s="96">
        <v>0.4</v>
      </c>
      <c r="E676" s="96"/>
      <c r="F676" s="97">
        <v>15</v>
      </c>
      <c r="G676" s="106">
        <v>28.647389999999998</v>
      </c>
      <c r="H676" s="147"/>
    </row>
    <row r="677" spans="1:8" x14ac:dyDescent="0.25">
      <c r="A677" s="105" t="s">
        <v>13</v>
      </c>
      <c r="B677" s="94" t="s">
        <v>64</v>
      </c>
      <c r="C677" s="95">
        <v>2022</v>
      </c>
      <c r="D677" s="96">
        <v>0.4</v>
      </c>
      <c r="E677" s="96"/>
      <c r="F677" s="97">
        <v>15</v>
      </c>
      <c r="G677" s="106">
        <v>25.513330000000003</v>
      </c>
      <c r="H677" s="147"/>
    </row>
    <row r="678" spans="1:8" x14ac:dyDescent="0.25">
      <c r="A678" s="105" t="s">
        <v>5</v>
      </c>
      <c r="B678" s="94" t="s">
        <v>63</v>
      </c>
      <c r="C678" s="95">
        <v>2022</v>
      </c>
      <c r="D678" s="96">
        <v>0.4</v>
      </c>
      <c r="E678" s="96"/>
      <c r="F678" s="97">
        <v>5</v>
      </c>
      <c r="G678" s="98">
        <v>10.722049999999999</v>
      </c>
      <c r="H678" s="147"/>
    </row>
    <row r="679" spans="1:8" x14ac:dyDescent="0.25">
      <c r="A679" s="105" t="s">
        <v>13</v>
      </c>
      <c r="B679" s="94" t="s">
        <v>62</v>
      </c>
      <c r="C679" s="95">
        <v>2022</v>
      </c>
      <c r="D679" s="96">
        <v>0.4</v>
      </c>
      <c r="E679" s="96"/>
      <c r="F679" s="97">
        <v>15</v>
      </c>
      <c r="G679" s="106">
        <v>25.28098</v>
      </c>
      <c r="H679" s="147"/>
    </row>
    <row r="680" spans="1:8" x14ac:dyDescent="0.25">
      <c r="A680" s="105" t="s">
        <v>5</v>
      </c>
      <c r="B680" s="94" t="s">
        <v>693</v>
      </c>
      <c r="C680" s="95">
        <v>2022</v>
      </c>
      <c r="D680" s="96">
        <v>0.4</v>
      </c>
      <c r="E680" s="96"/>
      <c r="F680" s="97">
        <v>5</v>
      </c>
      <c r="G680" s="98">
        <v>12.8065</v>
      </c>
      <c r="H680" s="147"/>
    </row>
    <row r="681" spans="1:8" x14ac:dyDescent="0.25">
      <c r="A681" s="105" t="s">
        <v>13</v>
      </c>
      <c r="B681" s="94" t="s">
        <v>61</v>
      </c>
      <c r="C681" s="95">
        <v>2022</v>
      </c>
      <c r="D681" s="96">
        <v>0.4</v>
      </c>
      <c r="E681" s="96"/>
      <c r="F681" s="97">
        <v>15</v>
      </c>
      <c r="G681" s="106">
        <v>27.542369999999998</v>
      </c>
      <c r="H681" s="147"/>
    </row>
    <row r="682" spans="1:8" x14ac:dyDescent="0.25">
      <c r="A682" s="105" t="s">
        <v>5</v>
      </c>
      <c r="B682" s="94" t="s">
        <v>60</v>
      </c>
      <c r="C682" s="95">
        <v>2022</v>
      </c>
      <c r="D682" s="96">
        <v>0.4</v>
      </c>
      <c r="E682" s="96"/>
      <c r="F682" s="97">
        <v>5</v>
      </c>
      <c r="G682" s="98">
        <v>27.326490000000003</v>
      </c>
      <c r="H682" s="147"/>
    </row>
    <row r="683" spans="1:8" x14ac:dyDescent="0.25">
      <c r="A683" s="105" t="s">
        <v>13</v>
      </c>
      <c r="B683" s="94" t="s">
        <v>60</v>
      </c>
      <c r="C683" s="95">
        <v>2022</v>
      </c>
      <c r="D683" s="96">
        <v>0.4</v>
      </c>
      <c r="E683" s="96"/>
      <c r="F683" s="97">
        <v>15</v>
      </c>
      <c r="G683" s="106">
        <v>25.7912</v>
      </c>
      <c r="H683" s="147"/>
    </row>
    <row r="684" spans="1:8" x14ac:dyDescent="0.25">
      <c r="A684" s="105" t="s">
        <v>5</v>
      </c>
      <c r="B684" s="94" t="s">
        <v>59</v>
      </c>
      <c r="C684" s="95">
        <v>2022</v>
      </c>
      <c r="D684" s="96">
        <v>0.4</v>
      </c>
      <c r="E684" s="96"/>
      <c r="F684" s="97">
        <v>5</v>
      </c>
      <c r="G684" s="98">
        <v>13.154860000000001</v>
      </c>
      <c r="H684" s="147"/>
    </row>
    <row r="685" spans="1:8" x14ac:dyDescent="0.25">
      <c r="A685" s="105" t="s">
        <v>5</v>
      </c>
      <c r="B685" s="94" t="s">
        <v>394</v>
      </c>
      <c r="C685" s="95">
        <v>2022</v>
      </c>
      <c r="D685" s="96">
        <v>0.4</v>
      </c>
      <c r="E685" s="96"/>
      <c r="F685" s="97">
        <v>5</v>
      </c>
      <c r="G685" s="98">
        <v>13.386799999999999</v>
      </c>
      <c r="H685" s="147"/>
    </row>
    <row r="686" spans="1:8" x14ac:dyDescent="0.25">
      <c r="A686" s="105" t="s">
        <v>13</v>
      </c>
      <c r="B686" s="94" t="s">
        <v>58</v>
      </c>
      <c r="C686" s="95">
        <v>2022</v>
      </c>
      <c r="D686" s="96">
        <v>0.4</v>
      </c>
      <c r="E686" s="96"/>
      <c r="F686" s="97">
        <v>15</v>
      </c>
      <c r="G686" s="106">
        <v>25.422840000000001</v>
      </c>
      <c r="H686" s="147"/>
    </row>
    <row r="687" spans="1:8" x14ac:dyDescent="0.25">
      <c r="A687" s="105" t="s">
        <v>13</v>
      </c>
      <c r="B687" s="94" t="s">
        <v>57</v>
      </c>
      <c r="C687" s="95">
        <v>2022</v>
      </c>
      <c r="D687" s="96">
        <v>0.4</v>
      </c>
      <c r="E687" s="96"/>
      <c r="F687" s="97">
        <v>15</v>
      </c>
      <c r="G687" s="106">
        <v>27.926179999999999</v>
      </c>
      <c r="H687" s="147"/>
    </row>
    <row r="688" spans="1:8" x14ac:dyDescent="0.25">
      <c r="A688" s="105" t="s">
        <v>13</v>
      </c>
      <c r="B688" s="94" t="s">
        <v>115</v>
      </c>
      <c r="C688" s="95">
        <v>2022</v>
      </c>
      <c r="D688" s="96">
        <v>0.4</v>
      </c>
      <c r="E688" s="96"/>
      <c r="F688" s="97">
        <v>15</v>
      </c>
      <c r="G688" s="106">
        <v>25.602509999999999</v>
      </c>
      <c r="H688" s="147"/>
    </row>
    <row r="689" spans="1:8" x14ac:dyDescent="0.25">
      <c r="A689" s="105" t="s">
        <v>13</v>
      </c>
      <c r="B689" s="94" t="s">
        <v>56</v>
      </c>
      <c r="C689" s="95">
        <v>2022</v>
      </c>
      <c r="D689" s="96">
        <v>0.4</v>
      </c>
      <c r="E689" s="96"/>
      <c r="F689" s="97">
        <v>15</v>
      </c>
      <c r="G689" s="106">
        <v>46.479669999999999</v>
      </c>
      <c r="H689" s="147"/>
    </row>
    <row r="690" spans="1:8" x14ac:dyDescent="0.25">
      <c r="A690" s="105" t="s">
        <v>13</v>
      </c>
      <c r="B690" s="94" t="s">
        <v>55</v>
      </c>
      <c r="C690" s="95">
        <v>2022</v>
      </c>
      <c r="D690" s="96">
        <v>0.4</v>
      </c>
      <c r="E690" s="96"/>
      <c r="F690" s="97">
        <v>15</v>
      </c>
      <c r="G690" s="106">
        <v>25.489509999999999</v>
      </c>
      <c r="H690" s="147"/>
    </row>
    <row r="691" spans="1:8" x14ac:dyDescent="0.25">
      <c r="A691" s="105" t="s">
        <v>5</v>
      </c>
      <c r="B691" s="94" t="s">
        <v>54</v>
      </c>
      <c r="C691" s="95">
        <v>2022</v>
      </c>
      <c r="D691" s="96">
        <v>0.4</v>
      </c>
      <c r="E691" s="96"/>
      <c r="F691" s="97">
        <v>5</v>
      </c>
      <c r="G691" s="98">
        <v>12.883599999999999</v>
      </c>
      <c r="H691" s="147"/>
    </row>
    <row r="692" spans="1:8" x14ac:dyDescent="0.25">
      <c r="A692" s="105" t="s">
        <v>13</v>
      </c>
      <c r="B692" s="94" t="s">
        <v>53</v>
      </c>
      <c r="C692" s="95">
        <v>2022</v>
      </c>
      <c r="D692" s="96">
        <v>0.4</v>
      </c>
      <c r="E692" s="96"/>
      <c r="F692" s="97">
        <v>15</v>
      </c>
      <c r="G692" s="106">
        <v>25.221810000000001</v>
      </c>
      <c r="H692" s="147"/>
    </row>
    <row r="693" spans="1:8" x14ac:dyDescent="0.25">
      <c r="A693" s="105" t="s">
        <v>13</v>
      </c>
      <c r="B693" s="94" t="s">
        <v>694</v>
      </c>
      <c r="C693" s="95">
        <v>2022</v>
      </c>
      <c r="D693" s="96">
        <v>0.4</v>
      </c>
      <c r="E693" s="96"/>
      <c r="F693" s="97">
        <v>15</v>
      </c>
      <c r="G693" s="106">
        <v>25.397849999999998</v>
      </c>
      <c r="H693" s="147"/>
    </row>
    <row r="694" spans="1:8" x14ac:dyDescent="0.25">
      <c r="A694" s="105" t="s">
        <v>13</v>
      </c>
      <c r="B694" s="94" t="s">
        <v>695</v>
      </c>
      <c r="C694" s="95">
        <v>2022</v>
      </c>
      <c r="D694" s="96">
        <v>0.4</v>
      </c>
      <c r="E694" s="96"/>
      <c r="F694" s="97">
        <v>15</v>
      </c>
      <c r="G694" s="106">
        <v>25.313549999999999</v>
      </c>
      <c r="H694" s="147"/>
    </row>
    <row r="695" spans="1:8" x14ac:dyDescent="0.25">
      <c r="A695" s="105" t="s">
        <v>13</v>
      </c>
      <c r="B695" s="94" t="s">
        <v>52</v>
      </c>
      <c r="C695" s="95">
        <v>2022</v>
      </c>
      <c r="D695" s="96">
        <v>0.4</v>
      </c>
      <c r="E695" s="96"/>
      <c r="F695" s="97">
        <v>15</v>
      </c>
      <c r="G695" s="106">
        <v>26.65014</v>
      </c>
      <c r="H695" s="147"/>
    </row>
    <row r="696" spans="1:8" x14ac:dyDescent="0.25">
      <c r="A696" s="105" t="s">
        <v>13</v>
      </c>
      <c r="B696" s="94" t="s">
        <v>696</v>
      </c>
      <c r="C696" s="95">
        <v>2022</v>
      </c>
      <c r="D696" s="96">
        <v>0.4</v>
      </c>
      <c r="E696" s="96"/>
      <c r="F696" s="97">
        <v>15</v>
      </c>
      <c r="G696" s="106">
        <v>14.702780000000001</v>
      </c>
      <c r="H696" s="147"/>
    </row>
    <row r="697" spans="1:8" x14ac:dyDescent="0.25">
      <c r="A697" s="105" t="s">
        <v>13</v>
      </c>
      <c r="B697" s="94" t="s">
        <v>690</v>
      </c>
      <c r="C697" s="95">
        <v>2022</v>
      </c>
      <c r="D697" s="96">
        <v>0.4</v>
      </c>
      <c r="E697" s="96"/>
      <c r="F697" s="97">
        <v>10</v>
      </c>
      <c r="G697" s="106">
        <v>25.029160000000001</v>
      </c>
      <c r="H697" s="147"/>
    </row>
    <row r="698" spans="1:8" x14ac:dyDescent="0.25">
      <c r="A698" s="105" t="s">
        <v>13</v>
      </c>
      <c r="B698" s="94" t="s">
        <v>51</v>
      </c>
      <c r="C698" s="95">
        <v>2022</v>
      </c>
      <c r="D698" s="96">
        <v>0.4</v>
      </c>
      <c r="E698" s="96"/>
      <c r="F698" s="97">
        <v>15</v>
      </c>
      <c r="G698" s="106">
        <v>25.818349999999999</v>
      </c>
      <c r="H698" s="147"/>
    </row>
    <row r="699" spans="1:8" x14ac:dyDescent="0.25">
      <c r="A699" s="105" t="s">
        <v>5</v>
      </c>
      <c r="B699" s="94" t="s">
        <v>50</v>
      </c>
      <c r="C699" s="95">
        <v>2022</v>
      </c>
      <c r="D699" s="96">
        <v>0.4</v>
      </c>
      <c r="E699" s="96"/>
      <c r="F699" s="97">
        <v>5</v>
      </c>
      <c r="G699" s="98">
        <v>15.82634</v>
      </c>
      <c r="H699" s="147"/>
    </row>
    <row r="700" spans="1:8" x14ac:dyDescent="0.25">
      <c r="A700" s="105" t="s">
        <v>13</v>
      </c>
      <c r="B700" s="94" t="s">
        <v>49</v>
      </c>
      <c r="C700" s="95">
        <v>2022</v>
      </c>
      <c r="D700" s="96">
        <v>0.4</v>
      </c>
      <c r="E700" s="96"/>
      <c r="F700" s="97">
        <v>15</v>
      </c>
      <c r="G700" s="106">
        <v>27.32648</v>
      </c>
      <c r="H700" s="147"/>
    </row>
    <row r="701" spans="1:8" x14ac:dyDescent="0.25">
      <c r="A701" s="105" t="s">
        <v>13</v>
      </c>
      <c r="B701" s="94" t="s">
        <v>572</v>
      </c>
      <c r="C701" s="95">
        <v>2022</v>
      </c>
      <c r="D701" s="96">
        <v>0.4</v>
      </c>
      <c r="E701" s="96"/>
      <c r="F701" s="97">
        <v>15</v>
      </c>
      <c r="G701" s="106">
        <v>25.50385</v>
      </c>
      <c r="H701" s="147"/>
    </row>
    <row r="702" spans="1:8" x14ac:dyDescent="0.25">
      <c r="A702" s="105" t="s">
        <v>13</v>
      </c>
      <c r="B702" s="94" t="s">
        <v>48</v>
      </c>
      <c r="C702" s="95">
        <v>2022</v>
      </c>
      <c r="D702" s="96">
        <v>0.4</v>
      </c>
      <c r="E702" s="96"/>
      <c r="F702" s="97">
        <v>15</v>
      </c>
      <c r="G702" s="106">
        <v>25.503820000000001</v>
      </c>
      <c r="H702" s="147"/>
    </row>
    <row r="703" spans="1:8" x14ac:dyDescent="0.25">
      <c r="A703" s="105" t="s">
        <v>5</v>
      </c>
      <c r="B703" s="94" t="s">
        <v>47</v>
      </c>
      <c r="C703" s="95">
        <v>2022</v>
      </c>
      <c r="D703" s="96">
        <v>0.4</v>
      </c>
      <c r="E703" s="96"/>
      <c r="F703" s="97">
        <v>5</v>
      </c>
      <c r="G703" s="98">
        <v>15.82385</v>
      </c>
      <c r="H703" s="147"/>
    </row>
    <row r="704" spans="1:8" x14ac:dyDescent="0.25">
      <c r="A704" s="105" t="s">
        <v>13</v>
      </c>
      <c r="B704" s="94" t="s">
        <v>46</v>
      </c>
      <c r="C704" s="95">
        <v>2022</v>
      </c>
      <c r="D704" s="96">
        <v>0.4</v>
      </c>
      <c r="E704" s="96"/>
      <c r="F704" s="97">
        <v>15</v>
      </c>
      <c r="G704" s="106">
        <v>25.337630000000001</v>
      </c>
      <c r="H704" s="147"/>
    </row>
    <row r="705" spans="1:8" x14ac:dyDescent="0.25">
      <c r="A705" s="105" t="s">
        <v>13</v>
      </c>
      <c r="B705" s="94" t="s">
        <v>46</v>
      </c>
      <c r="C705" s="95">
        <v>2022</v>
      </c>
      <c r="D705" s="96">
        <v>0.4</v>
      </c>
      <c r="E705" s="96"/>
      <c r="F705" s="97">
        <v>15</v>
      </c>
      <c r="G705" s="106">
        <v>25.33765</v>
      </c>
      <c r="H705" s="147"/>
    </row>
    <row r="706" spans="1:8" x14ac:dyDescent="0.25">
      <c r="A706" s="105" t="s">
        <v>13</v>
      </c>
      <c r="B706" s="94" t="s">
        <v>45</v>
      </c>
      <c r="C706" s="95">
        <v>2022</v>
      </c>
      <c r="D706" s="96">
        <v>0.4</v>
      </c>
      <c r="E706" s="96"/>
      <c r="F706" s="97">
        <v>15</v>
      </c>
      <c r="G706" s="106">
        <v>25.377839999999999</v>
      </c>
      <c r="H706" s="147"/>
    </row>
    <row r="707" spans="1:8" x14ac:dyDescent="0.25">
      <c r="A707" s="105" t="s">
        <v>13</v>
      </c>
      <c r="B707" s="94" t="s">
        <v>697</v>
      </c>
      <c r="C707" s="95">
        <v>2022</v>
      </c>
      <c r="D707" s="96">
        <v>0.4</v>
      </c>
      <c r="E707" s="96"/>
      <c r="F707" s="97">
        <v>15</v>
      </c>
      <c r="G707" s="106">
        <v>28.080500000000001</v>
      </c>
      <c r="H707" s="147"/>
    </row>
    <row r="708" spans="1:8" x14ac:dyDescent="0.25">
      <c r="A708" s="105" t="s">
        <v>5</v>
      </c>
      <c r="B708" s="94" t="s">
        <v>44</v>
      </c>
      <c r="C708" s="95">
        <v>2022</v>
      </c>
      <c r="D708" s="96">
        <v>0.4</v>
      </c>
      <c r="E708" s="96"/>
      <c r="F708" s="97">
        <v>5</v>
      </c>
      <c r="G708" s="98">
        <v>13.210120000000002</v>
      </c>
      <c r="H708" s="147"/>
    </row>
    <row r="709" spans="1:8" x14ac:dyDescent="0.25">
      <c r="A709" s="105" t="s">
        <v>5</v>
      </c>
      <c r="B709" s="94" t="s">
        <v>43</v>
      </c>
      <c r="C709" s="95">
        <v>2022</v>
      </c>
      <c r="D709" s="96">
        <v>0.4</v>
      </c>
      <c r="E709" s="96"/>
      <c r="F709" s="97">
        <v>5</v>
      </c>
      <c r="G709" s="98">
        <v>12.774430000000001</v>
      </c>
      <c r="H709" s="147"/>
    </row>
    <row r="710" spans="1:8" x14ac:dyDescent="0.25">
      <c r="A710" s="105" t="s">
        <v>5</v>
      </c>
      <c r="B710" s="94" t="s">
        <v>42</v>
      </c>
      <c r="C710" s="95">
        <v>2022</v>
      </c>
      <c r="D710" s="96">
        <v>0.4</v>
      </c>
      <c r="E710" s="96"/>
      <c r="F710" s="97">
        <v>5</v>
      </c>
      <c r="G710" s="98">
        <v>27.432770000000001</v>
      </c>
      <c r="H710" s="147"/>
    </row>
    <row r="711" spans="1:8" x14ac:dyDescent="0.25">
      <c r="A711" s="105" t="s">
        <v>13</v>
      </c>
      <c r="B711" s="94" t="s">
        <v>41</v>
      </c>
      <c r="C711" s="95">
        <v>2022</v>
      </c>
      <c r="D711" s="96">
        <v>0.4</v>
      </c>
      <c r="E711" s="96"/>
      <c r="F711" s="97">
        <v>15</v>
      </c>
      <c r="G711" s="106">
        <v>28.004669999999997</v>
      </c>
      <c r="H711" s="147"/>
    </row>
    <row r="712" spans="1:8" x14ac:dyDescent="0.25">
      <c r="A712" s="105" t="s">
        <v>13</v>
      </c>
      <c r="B712" s="94" t="s">
        <v>698</v>
      </c>
      <c r="C712" s="95">
        <v>2022</v>
      </c>
      <c r="D712" s="96">
        <v>0.4</v>
      </c>
      <c r="E712" s="96"/>
      <c r="F712" s="97">
        <v>15</v>
      </c>
      <c r="G712" s="106">
        <v>25.432849999999998</v>
      </c>
      <c r="H712" s="147"/>
    </row>
    <row r="713" spans="1:8" x14ac:dyDescent="0.25">
      <c r="A713" s="105" t="s">
        <v>13</v>
      </c>
      <c r="B713" s="94" t="s">
        <v>699</v>
      </c>
      <c r="C713" s="95">
        <v>2022</v>
      </c>
      <c r="D713" s="96">
        <v>0.4</v>
      </c>
      <c r="E713" s="96"/>
      <c r="F713" s="97">
        <v>15</v>
      </c>
      <c r="G713" s="106">
        <v>25.791180000000001</v>
      </c>
      <c r="H713" s="147"/>
    </row>
    <row r="714" spans="1:8" x14ac:dyDescent="0.25">
      <c r="A714" s="105" t="s">
        <v>13</v>
      </c>
      <c r="B714" s="94" t="s">
        <v>40</v>
      </c>
      <c r="C714" s="95">
        <v>2022</v>
      </c>
      <c r="D714" s="96">
        <v>0.4</v>
      </c>
      <c r="E714" s="96"/>
      <c r="F714" s="97">
        <v>15</v>
      </c>
      <c r="G714" s="106">
        <v>25.705380000000002</v>
      </c>
      <c r="H714" s="147"/>
    </row>
    <row r="715" spans="1:8" x14ac:dyDescent="0.25">
      <c r="A715" s="105" t="s">
        <v>13</v>
      </c>
      <c r="B715" s="94" t="s">
        <v>39</v>
      </c>
      <c r="C715" s="95">
        <v>2022</v>
      </c>
      <c r="D715" s="96">
        <v>0.4</v>
      </c>
      <c r="E715" s="96"/>
      <c r="F715" s="97">
        <v>15</v>
      </c>
      <c r="G715" s="106">
        <v>20.082319999999999</v>
      </c>
      <c r="H715" s="147"/>
    </row>
    <row r="716" spans="1:8" x14ac:dyDescent="0.25">
      <c r="A716" s="105" t="s">
        <v>13</v>
      </c>
      <c r="B716" s="94" t="s">
        <v>38</v>
      </c>
      <c r="C716" s="95">
        <v>2022</v>
      </c>
      <c r="D716" s="96">
        <v>0.4</v>
      </c>
      <c r="E716" s="96"/>
      <c r="F716" s="97">
        <v>15</v>
      </c>
      <c r="G716" s="106">
        <v>25.449310000000001</v>
      </c>
      <c r="H716" s="147"/>
    </row>
    <row r="717" spans="1:8" x14ac:dyDescent="0.25">
      <c r="A717" s="105" t="s">
        <v>13</v>
      </c>
      <c r="B717" s="94" t="s">
        <v>37</v>
      </c>
      <c r="C717" s="95">
        <v>2022</v>
      </c>
      <c r="D717" s="96">
        <v>0.4</v>
      </c>
      <c r="E717" s="96"/>
      <c r="F717" s="97">
        <v>15</v>
      </c>
      <c r="G717" s="106">
        <v>25.621189999999999</v>
      </c>
      <c r="H717" s="147"/>
    </row>
    <row r="718" spans="1:8" x14ac:dyDescent="0.25">
      <c r="A718" s="105" t="s">
        <v>13</v>
      </c>
      <c r="B718" s="94" t="s">
        <v>36</v>
      </c>
      <c r="C718" s="95">
        <v>2022</v>
      </c>
      <c r="D718" s="96">
        <v>0.4</v>
      </c>
      <c r="E718" s="96"/>
      <c r="F718" s="97">
        <v>15</v>
      </c>
      <c r="G718" s="106">
        <v>25.377839999999999</v>
      </c>
      <c r="H718" s="147"/>
    </row>
    <row r="719" spans="1:8" x14ac:dyDescent="0.25">
      <c r="A719" s="105" t="s">
        <v>5</v>
      </c>
      <c r="B719" s="94" t="s">
        <v>700</v>
      </c>
      <c r="C719" s="95">
        <v>2022</v>
      </c>
      <c r="D719" s="96">
        <v>0.4</v>
      </c>
      <c r="E719" s="96"/>
      <c r="F719" s="97">
        <v>5</v>
      </c>
      <c r="G719" s="98">
        <v>13.230259999999999</v>
      </c>
      <c r="H719" s="147"/>
    </row>
    <row r="720" spans="1:8" x14ac:dyDescent="0.25">
      <c r="A720" s="105" t="s">
        <v>13</v>
      </c>
      <c r="B720" s="94" t="s">
        <v>35</v>
      </c>
      <c r="C720" s="95">
        <v>2022</v>
      </c>
      <c r="D720" s="96">
        <v>0.4</v>
      </c>
      <c r="E720" s="96"/>
      <c r="F720" s="97">
        <v>15</v>
      </c>
      <c r="G720" s="106">
        <v>25.599630000000001</v>
      </c>
      <c r="H720" s="147"/>
    </row>
    <row r="721" spans="1:8" x14ac:dyDescent="0.25">
      <c r="A721" s="105" t="s">
        <v>13</v>
      </c>
      <c r="B721" s="94" t="s">
        <v>34</v>
      </c>
      <c r="C721" s="95">
        <v>2022</v>
      </c>
      <c r="D721" s="96">
        <v>0.4</v>
      </c>
      <c r="E721" s="96"/>
      <c r="F721" s="97">
        <v>15</v>
      </c>
      <c r="G721" s="106">
        <v>46.501300000000001</v>
      </c>
      <c r="H721" s="147"/>
    </row>
    <row r="722" spans="1:8" x14ac:dyDescent="0.25">
      <c r="A722" s="105" t="s">
        <v>13</v>
      </c>
      <c r="B722" s="94" t="s">
        <v>33</v>
      </c>
      <c r="C722" s="95">
        <v>2022</v>
      </c>
      <c r="D722" s="96">
        <v>0.4</v>
      </c>
      <c r="E722" s="96"/>
      <c r="F722" s="97">
        <v>15</v>
      </c>
      <c r="G722" s="106">
        <v>25.294160000000002</v>
      </c>
      <c r="H722" s="147"/>
    </row>
    <row r="723" spans="1:8" x14ac:dyDescent="0.25">
      <c r="A723" s="105" t="s">
        <v>5</v>
      </c>
      <c r="B723" s="94" t="s">
        <v>701</v>
      </c>
      <c r="C723" s="95">
        <v>2022</v>
      </c>
      <c r="D723" s="96">
        <v>0.4</v>
      </c>
      <c r="E723" s="96"/>
      <c r="F723" s="97">
        <v>5</v>
      </c>
      <c r="G723" s="98">
        <v>13.10492</v>
      </c>
      <c r="H723" s="147"/>
    </row>
    <row r="724" spans="1:8" x14ac:dyDescent="0.25">
      <c r="A724" s="105" t="s">
        <v>13</v>
      </c>
      <c r="B724" s="94" t="s">
        <v>569</v>
      </c>
      <c r="C724" s="95">
        <v>2022</v>
      </c>
      <c r="D724" s="96">
        <v>0.4</v>
      </c>
      <c r="E724" s="96"/>
      <c r="F724" s="97">
        <v>15</v>
      </c>
      <c r="G724" s="106">
        <v>46.292970000000004</v>
      </c>
      <c r="H724" s="147"/>
    </row>
    <row r="725" spans="1:8" x14ac:dyDescent="0.25">
      <c r="A725" s="105" t="s">
        <v>13</v>
      </c>
      <c r="B725" s="94" t="s">
        <v>32</v>
      </c>
      <c r="C725" s="95">
        <v>2022</v>
      </c>
      <c r="D725" s="96">
        <v>0.4</v>
      </c>
      <c r="E725" s="96"/>
      <c r="F725" s="97">
        <v>15</v>
      </c>
      <c r="G725" s="106">
        <v>25.11084</v>
      </c>
      <c r="H725" s="147"/>
    </row>
    <row r="726" spans="1:8" x14ac:dyDescent="0.25">
      <c r="A726" s="105" t="s">
        <v>13</v>
      </c>
      <c r="B726" s="94" t="s">
        <v>31</v>
      </c>
      <c r="C726" s="95">
        <v>2022</v>
      </c>
      <c r="D726" s="96">
        <v>0.4</v>
      </c>
      <c r="E726" s="96"/>
      <c r="F726" s="97">
        <v>15</v>
      </c>
      <c r="G726" s="106">
        <v>25.602509999999999</v>
      </c>
      <c r="H726" s="147"/>
    </row>
    <row r="727" spans="1:8" x14ac:dyDescent="0.25">
      <c r="A727" s="105" t="s">
        <v>13</v>
      </c>
      <c r="B727" s="94" t="s">
        <v>30</v>
      </c>
      <c r="C727" s="95">
        <v>2022</v>
      </c>
      <c r="D727" s="96">
        <v>0.4</v>
      </c>
      <c r="E727" s="96"/>
      <c r="F727" s="97">
        <v>15</v>
      </c>
      <c r="G727" s="106">
        <v>25.384520000000002</v>
      </c>
      <c r="H727" s="147"/>
    </row>
    <row r="728" spans="1:8" x14ac:dyDescent="0.25">
      <c r="A728" s="105" t="s">
        <v>13</v>
      </c>
      <c r="B728" s="94" t="s">
        <v>29</v>
      </c>
      <c r="C728" s="95">
        <v>2022</v>
      </c>
      <c r="D728" s="96">
        <v>0.4</v>
      </c>
      <c r="E728" s="96"/>
      <c r="F728" s="97">
        <v>15</v>
      </c>
      <c r="G728" s="106">
        <v>10.72207</v>
      </c>
      <c r="H728" s="147"/>
    </row>
    <row r="729" spans="1:8" x14ac:dyDescent="0.25">
      <c r="A729" s="105" t="s">
        <v>13</v>
      </c>
      <c r="B729" s="94" t="s">
        <v>702</v>
      </c>
      <c r="C729" s="95">
        <v>2022</v>
      </c>
      <c r="D729" s="96">
        <v>0.4</v>
      </c>
      <c r="E729" s="96"/>
      <c r="F729" s="97">
        <v>15</v>
      </c>
      <c r="G729" s="106">
        <v>29.455929999999999</v>
      </c>
      <c r="H729" s="147"/>
    </row>
    <row r="730" spans="1:8" x14ac:dyDescent="0.25">
      <c r="A730" s="105" t="s">
        <v>13</v>
      </c>
      <c r="B730" s="94" t="s">
        <v>702</v>
      </c>
      <c r="C730" s="95">
        <v>2022</v>
      </c>
      <c r="D730" s="96">
        <v>0.4</v>
      </c>
      <c r="E730" s="96"/>
      <c r="F730" s="97">
        <v>15</v>
      </c>
      <c r="G730" s="106">
        <v>28.872199999999999</v>
      </c>
      <c r="H730" s="147"/>
    </row>
    <row r="731" spans="1:8" x14ac:dyDescent="0.25">
      <c r="A731" s="105" t="s">
        <v>13</v>
      </c>
      <c r="B731" s="94" t="s">
        <v>28</v>
      </c>
      <c r="C731" s="95">
        <v>2022</v>
      </c>
      <c r="D731" s="96">
        <v>0.4</v>
      </c>
      <c r="E731" s="96"/>
      <c r="F731" s="97">
        <v>15</v>
      </c>
      <c r="G731" s="106">
        <v>25.602499999999999</v>
      </c>
      <c r="H731" s="147"/>
    </row>
    <row r="732" spans="1:8" x14ac:dyDescent="0.25">
      <c r="A732" s="105" t="s">
        <v>5</v>
      </c>
      <c r="B732" s="94" t="s">
        <v>27</v>
      </c>
      <c r="C732" s="95">
        <v>2022</v>
      </c>
      <c r="D732" s="96">
        <v>0.4</v>
      </c>
      <c r="E732" s="96"/>
      <c r="F732" s="97">
        <v>5</v>
      </c>
      <c r="G732" s="98">
        <v>12.805260000000001</v>
      </c>
      <c r="H732" s="147"/>
    </row>
    <row r="733" spans="1:8" x14ac:dyDescent="0.25">
      <c r="A733" s="105" t="s">
        <v>5</v>
      </c>
      <c r="B733" s="94" t="s">
        <v>26</v>
      </c>
      <c r="C733" s="95">
        <v>2022</v>
      </c>
      <c r="D733" s="96">
        <v>0.4</v>
      </c>
      <c r="E733" s="96"/>
      <c r="F733" s="97">
        <v>5</v>
      </c>
      <c r="G733" s="98">
        <v>25.432839999999999</v>
      </c>
      <c r="H733" s="147"/>
    </row>
    <row r="734" spans="1:8" x14ac:dyDescent="0.25">
      <c r="A734" s="105" t="s">
        <v>13</v>
      </c>
      <c r="B734" s="94" t="s">
        <v>25</v>
      </c>
      <c r="C734" s="95">
        <v>2022</v>
      </c>
      <c r="D734" s="96">
        <v>0.4</v>
      </c>
      <c r="E734" s="96"/>
      <c r="F734" s="97">
        <v>15</v>
      </c>
      <c r="G734" s="106">
        <v>29.056990000000003</v>
      </c>
      <c r="H734" s="147"/>
    </row>
    <row r="735" spans="1:8" x14ac:dyDescent="0.25">
      <c r="A735" s="105" t="s">
        <v>13</v>
      </c>
      <c r="B735" s="94" t="s">
        <v>24</v>
      </c>
      <c r="C735" s="95">
        <v>2022</v>
      </c>
      <c r="D735" s="96">
        <v>0.4</v>
      </c>
      <c r="E735" s="96"/>
      <c r="F735" s="97">
        <v>15</v>
      </c>
      <c r="G735" s="106">
        <v>25.50431</v>
      </c>
      <c r="H735" s="147"/>
    </row>
    <row r="736" spans="1:8" x14ac:dyDescent="0.25">
      <c r="A736" s="105" t="s">
        <v>13</v>
      </c>
      <c r="B736" s="94" t="s">
        <v>23</v>
      </c>
      <c r="C736" s="95">
        <v>2022</v>
      </c>
      <c r="D736" s="96">
        <v>0.4</v>
      </c>
      <c r="E736" s="96"/>
      <c r="F736" s="97">
        <v>15</v>
      </c>
      <c r="G736" s="106">
        <v>26.10548</v>
      </c>
      <c r="H736" s="147"/>
    </row>
    <row r="737" spans="1:8" x14ac:dyDescent="0.25">
      <c r="A737" s="105" t="s">
        <v>5</v>
      </c>
      <c r="B737" s="94" t="s">
        <v>63</v>
      </c>
      <c r="C737" s="95">
        <v>2022</v>
      </c>
      <c r="D737" s="96">
        <v>0.4</v>
      </c>
      <c r="E737" s="96"/>
      <c r="F737" s="97">
        <v>5</v>
      </c>
      <c r="G737" s="98">
        <v>13.15236</v>
      </c>
      <c r="H737" s="147"/>
    </row>
    <row r="738" spans="1:8" x14ac:dyDescent="0.25">
      <c r="A738" s="105" t="s">
        <v>13</v>
      </c>
      <c r="B738" s="94" t="s">
        <v>22</v>
      </c>
      <c r="C738" s="95">
        <v>2022</v>
      </c>
      <c r="D738" s="96">
        <v>0.4</v>
      </c>
      <c r="E738" s="96"/>
      <c r="F738" s="97">
        <v>15</v>
      </c>
      <c r="G738" s="106">
        <v>25.431660000000001</v>
      </c>
      <c r="H738" s="147"/>
    </row>
    <row r="739" spans="1:8" x14ac:dyDescent="0.25">
      <c r="A739" s="105" t="s">
        <v>13</v>
      </c>
      <c r="B739" s="94" t="s">
        <v>21</v>
      </c>
      <c r="C739" s="95">
        <v>2022</v>
      </c>
      <c r="D739" s="96">
        <v>0.4</v>
      </c>
      <c r="E739" s="96"/>
      <c r="F739" s="97">
        <v>15</v>
      </c>
      <c r="G739" s="106">
        <v>25.291810000000002</v>
      </c>
      <c r="H739" s="147"/>
    </row>
    <row r="740" spans="1:8" x14ac:dyDescent="0.25">
      <c r="A740" s="105" t="s">
        <v>13</v>
      </c>
      <c r="B740" s="94" t="s">
        <v>20</v>
      </c>
      <c r="C740" s="95">
        <v>2022</v>
      </c>
      <c r="D740" s="96">
        <v>0.4</v>
      </c>
      <c r="E740" s="96"/>
      <c r="F740" s="97">
        <v>15</v>
      </c>
      <c r="G740" s="106">
        <v>25.422840000000001</v>
      </c>
      <c r="H740" s="147"/>
    </row>
    <row r="741" spans="1:8" x14ac:dyDescent="0.25">
      <c r="A741" s="105" t="s">
        <v>13</v>
      </c>
      <c r="B741" s="94" t="s">
        <v>19</v>
      </c>
      <c r="C741" s="95">
        <v>2022</v>
      </c>
      <c r="D741" s="96">
        <v>0.4</v>
      </c>
      <c r="E741" s="96"/>
      <c r="F741" s="97">
        <v>15</v>
      </c>
      <c r="G741" s="106">
        <v>25.299520000000001</v>
      </c>
      <c r="H741" s="147"/>
    </row>
    <row r="742" spans="1:8" x14ac:dyDescent="0.25">
      <c r="A742" s="105" t="s">
        <v>13</v>
      </c>
      <c r="B742" s="94" t="s">
        <v>18</v>
      </c>
      <c r="C742" s="95">
        <v>2022</v>
      </c>
      <c r="D742" s="96">
        <v>0.4</v>
      </c>
      <c r="E742" s="96"/>
      <c r="F742" s="97">
        <v>15</v>
      </c>
      <c r="G742" s="106">
        <v>25.672840000000001</v>
      </c>
      <c r="H742" s="147"/>
    </row>
    <row r="743" spans="1:8" x14ac:dyDescent="0.25">
      <c r="A743" s="105" t="s">
        <v>13</v>
      </c>
      <c r="B743" s="94" t="s">
        <v>17</v>
      </c>
      <c r="C743" s="95">
        <v>2022</v>
      </c>
      <c r="D743" s="96">
        <v>0.4</v>
      </c>
      <c r="E743" s="96"/>
      <c r="F743" s="97">
        <v>15</v>
      </c>
      <c r="G743" s="106">
        <v>12.679919999999999</v>
      </c>
      <c r="H743" s="147"/>
    </row>
    <row r="744" spans="1:8" x14ac:dyDescent="0.25">
      <c r="A744" s="105" t="s">
        <v>13</v>
      </c>
      <c r="B744" s="94" t="s">
        <v>16</v>
      </c>
      <c r="C744" s="95">
        <v>2022</v>
      </c>
      <c r="D744" s="96">
        <v>0.4</v>
      </c>
      <c r="E744" s="96"/>
      <c r="F744" s="97">
        <v>15</v>
      </c>
      <c r="G744" s="106">
        <v>25.337630000000001</v>
      </c>
      <c r="H744" s="147"/>
    </row>
    <row r="745" spans="1:8" x14ac:dyDescent="0.25">
      <c r="A745" s="105" t="s">
        <v>13</v>
      </c>
      <c r="B745" s="94" t="s">
        <v>15</v>
      </c>
      <c r="C745" s="95">
        <v>2022</v>
      </c>
      <c r="D745" s="96">
        <v>0.4</v>
      </c>
      <c r="E745" s="96"/>
      <c r="F745" s="97">
        <v>15</v>
      </c>
      <c r="G745" s="106">
        <v>28.330349999999999</v>
      </c>
      <c r="H745" s="147"/>
    </row>
    <row r="746" spans="1:8" x14ac:dyDescent="0.25">
      <c r="A746" s="105" t="s">
        <v>5</v>
      </c>
      <c r="B746" s="94" t="s">
        <v>14</v>
      </c>
      <c r="C746" s="95">
        <v>2022</v>
      </c>
      <c r="D746" s="96">
        <v>0.4</v>
      </c>
      <c r="E746" s="96"/>
      <c r="F746" s="97">
        <v>5</v>
      </c>
      <c r="G746" s="98">
        <v>16.497970000000002</v>
      </c>
      <c r="H746" s="147"/>
    </row>
    <row r="747" spans="1:8" x14ac:dyDescent="0.25">
      <c r="A747" s="105" t="s">
        <v>5</v>
      </c>
      <c r="B747" s="94" t="s">
        <v>703</v>
      </c>
      <c r="C747" s="95">
        <v>2022</v>
      </c>
      <c r="D747" s="96">
        <v>0.4</v>
      </c>
      <c r="E747" s="96"/>
      <c r="F747" s="97">
        <v>5</v>
      </c>
      <c r="G747" s="98">
        <v>13.09085</v>
      </c>
      <c r="H747" s="147"/>
    </row>
    <row r="748" spans="1:8" x14ac:dyDescent="0.25">
      <c r="A748" s="105" t="s">
        <v>5</v>
      </c>
      <c r="B748" s="94" t="s">
        <v>703</v>
      </c>
      <c r="C748" s="95">
        <v>2022</v>
      </c>
      <c r="D748" s="96">
        <v>0.4</v>
      </c>
      <c r="E748" s="96"/>
      <c r="F748" s="97">
        <v>5</v>
      </c>
      <c r="G748" s="98">
        <v>13.09085</v>
      </c>
      <c r="H748" s="147"/>
    </row>
    <row r="749" spans="1:8" x14ac:dyDescent="0.25">
      <c r="A749" s="105" t="s">
        <v>13</v>
      </c>
      <c r="B749" s="94" t="s">
        <v>12</v>
      </c>
      <c r="C749" s="95">
        <v>2022</v>
      </c>
      <c r="D749" s="96">
        <v>0.4</v>
      </c>
      <c r="E749" s="96"/>
      <c r="F749" s="97">
        <v>15</v>
      </c>
      <c r="G749" s="106">
        <v>28.174669999999999</v>
      </c>
      <c r="H749" s="147"/>
    </row>
    <row r="750" spans="1:8" x14ac:dyDescent="0.25">
      <c r="A750" s="105" t="s">
        <v>5</v>
      </c>
      <c r="B750" s="94" t="s">
        <v>11</v>
      </c>
      <c r="C750" s="95">
        <v>2022</v>
      </c>
      <c r="D750" s="96">
        <v>0.4</v>
      </c>
      <c r="E750" s="96"/>
      <c r="F750" s="97">
        <v>5</v>
      </c>
      <c r="G750" s="98">
        <v>13.01595</v>
      </c>
      <c r="H750" s="147"/>
    </row>
    <row r="751" spans="1:8" x14ac:dyDescent="0.25">
      <c r="A751" s="105" t="s">
        <v>5</v>
      </c>
      <c r="B751" s="94" t="s">
        <v>689</v>
      </c>
      <c r="C751" s="95">
        <v>2022</v>
      </c>
      <c r="D751" s="96">
        <v>0.4</v>
      </c>
      <c r="E751" s="96"/>
      <c r="F751" s="97">
        <v>5</v>
      </c>
      <c r="G751" s="98">
        <v>13.39841</v>
      </c>
      <c r="H751" s="147"/>
    </row>
    <row r="752" spans="1:8" x14ac:dyDescent="0.25">
      <c r="A752" s="105" t="s">
        <v>5</v>
      </c>
      <c r="B752" s="94" t="s">
        <v>338</v>
      </c>
      <c r="C752" s="95">
        <v>2022</v>
      </c>
      <c r="D752" s="96">
        <v>0.4</v>
      </c>
      <c r="E752" s="96"/>
      <c r="F752" s="97">
        <v>5</v>
      </c>
      <c r="G752" s="98">
        <v>27.507020000000001</v>
      </c>
      <c r="H752" s="147"/>
    </row>
    <row r="753" spans="1:8" x14ac:dyDescent="0.25">
      <c r="A753" s="105" t="s">
        <v>13</v>
      </c>
      <c r="B753" s="94" t="s">
        <v>704</v>
      </c>
      <c r="C753" s="95">
        <v>2022</v>
      </c>
      <c r="D753" s="96">
        <v>0.4</v>
      </c>
      <c r="E753" s="96"/>
      <c r="F753" s="97">
        <v>14</v>
      </c>
      <c r="G753" s="106">
        <v>27.25066</v>
      </c>
      <c r="H753" s="147"/>
    </row>
    <row r="754" spans="1:8" x14ac:dyDescent="0.25">
      <c r="A754" s="105" t="s">
        <v>13</v>
      </c>
      <c r="B754" s="94" t="s">
        <v>395</v>
      </c>
      <c r="C754" s="95">
        <v>2022</v>
      </c>
      <c r="D754" s="96">
        <v>0.4</v>
      </c>
      <c r="E754" s="96"/>
      <c r="F754" s="97">
        <v>15</v>
      </c>
      <c r="G754" s="106">
        <v>8.4575800000000001</v>
      </c>
      <c r="H754" s="147"/>
    </row>
    <row r="755" spans="1:8" x14ac:dyDescent="0.25">
      <c r="A755" s="105" t="s">
        <v>5</v>
      </c>
      <c r="B755" s="94" t="s">
        <v>10</v>
      </c>
      <c r="C755" s="95">
        <v>2022</v>
      </c>
      <c r="D755" s="96">
        <v>0.4</v>
      </c>
      <c r="E755" s="96"/>
      <c r="F755" s="97">
        <v>5</v>
      </c>
      <c r="G755" s="98">
        <v>6.1163500000000006</v>
      </c>
      <c r="H755" s="147"/>
    </row>
    <row r="756" spans="1:8" x14ac:dyDescent="0.25">
      <c r="A756" s="105" t="s">
        <v>13</v>
      </c>
      <c r="B756" s="94" t="s">
        <v>705</v>
      </c>
      <c r="C756" s="95">
        <v>2022</v>
      </c>
      <c r="D756" s="96">
        <v>0.4</v>
      </c>
      <c r="E756" s="96"/>
      <c r="F756" s="97">
        <v>15</v>
      </c>
      <c r="G756" s="106">
        <v>29.260770000000001</v>
      </c>
      <c r="H756" s="147"/>
    </row>
    <row r="757" spans="1:8" x14ac:dyDescent="0.25">
      <c r="A757" s="105" t="s">
        <v>13</v>
      </c>
      <c r="B757" s="94" t="s">
        <v>706</v>
      </c>
      <c r="C757" s="95">
        <v>2022</v>
      </c>
      <c r="D757" s="96">
        <v>0.4</v>
      </c>
      <c r="E757" s="96"/>
      <c r="F757" s="97">
        <v>15</v>
      </c>
      <c r="G757" s="106">
        <v>11.18492</v>
      </c>
      <c r="H757" s="147"/>
    </row>
    <row r="758" spans="1:8" x14ac:dyDescent="0.25">
      <c r="A758" s="105" t="s">
        <v>13</v>
      </c>
      <c r="B758" s="94" t="s">
        <v>8</v>
      </c>
      <c r="C758" s="95">
        <v>2022</v>
      </c>
      <c r="D758" s="96">
        <v>0.4</v>
      </c>
      <c r="E758" s="96"/>
      <c r="F758" s="97">
        <v>15</v>
      </c>
      <c r="G758" s="106">
        <v>12.36669</v>
      </c>
      <c r="H758" s="147"/>
    </row>
    <row r="759" spans="1:8" x14ac:dyDescent="0.25">
      <c r="A759" s="105" t="s">
        <v>5</v>
      </c>
      <c r="B759" s="94" t="s">
        <v>7</v>
      </c>
      <c r="C759" s="95">
        <v>2022</v>
      </c>
      <c r="D759" s="96">
        <v>0.4</v>
      </c>
      <c r="E759" s="96"/>
      <c r="F759" s="97">
        <v>5</v>
      </c>
      <c r="G759" s="98">
        <v>12.332610000000001</v>
      </c>
      <c r="H759" s="147"/>
    </row>
    <row r="760" spans="1:8" x14ac:dyDescent="0.25">
      <c r="A760" s="105" t="s">
        <v>5</v>
      </c>
      <c r="B760" s="94" t="s">
        <v>6</v>
      </c>
      <c r="C760" s="95">
        <v>2022</v>
      </c>
      <c r="D760" s="96">
        <v>0.4</v>
      </c>
      <c r="E760" s="96"/>
      <c r="F760" s="97">
        <v>5</v>
      </c>
      <c r="G760" s="98">
        <v>6.0021499999999994</v>
      </c>
      <c r="H760" s="147"/>
    </row>
    <row r="761" spans="1:8" ht="16.5" thickBot="1" x14ac:dyDescent="0.3">
      <c r="A761" s="112" t="s">
        <v>5</v>
      </c>
      <c r="B761" s="113" t="s">
        <v>4</v>
      </c>
      <c r="C761" s="114">
        <v>2022</v>
      </c>
      <c r="D761" s="115">
        <v>0.4</v>
      </c>
      <c r="E761" s="115"/>
      <c r="F761" s="116">
        <v>5</v>
      </c>
      <c r="G761" s="117">
        <v>15.31967</v>
      </c>
      <c r="H761" s="147"/>
    </row>
    <row r="762" spans="1:8" x14ac:dyDescent="0.25">
      <c r="A762" s="12"/>
      <c r="B762" s="14"/>
      <c r="C762" s="12"/>
      <c r="D762" s="12"/>
      <c r="E762" s="13"/>
      <c r="F762" s="12"/>
      <c r="G762" s="11"/>
    </row>
    <row r="763" spans="1:8" x14ac:dyDescent="0.25">
      <c r="A763" s="12"/>
      <c r="B763" s="14"/>
      <c r="C763" s="12"/>
      <c r="D763" s="12"/>
      <c r="E763" s="13"/>
      <c r="F763" s="12"/>
      <c r="G763" s="11"/>
    </row>
    <row r="768" spans="1:8" ht="15.6" customHeight="1" x14ac:dyDescent="0.25">
      <c r="A768" s="326" t="s">
        <v>3</v>
      </c>
      <c r="B768" s="326"/>
      <c r="C768" s="326"/>
      <c r="D768" s="8"/>
      <c r="E768" s="7"/>
      <c r="F768" s="6" t="s">
        <v>2</v>
      </c>
    </row>
    <row r="769" spans="1:6" x14ac:dyDescent="0.25">
      <c r="A769" s="10"/>
      <c r="B769" s="9"/>
      <c r="C769" s="8"/>
      <c r="D769" s="8"/>
      <c r="E769" s="7"/>
      <c r="F769" s="8"/>
    </row>
    <row r="770" spans="1:6" ht="15.6" customHeight="1" x14ac:dyDescent="0.25">
      <c r="A770" s="326" t="s">
        <v>1</v>
      </c>
      <c r="B770" s="326"/>
      <c r="C770" s="326"/>
      <c r="D770" s="8"/>
      <c r="E770" s="7"/>
      <c r="F770" s="6" t="s">
        <v>0</v>
      </c>
    </row>
  </sheetData>
  <autoFilter ref="A5:G761" xr:uid="{00000000-0009-0000-0000-000002000000}"/>
  <mergeCells count="75">
    <mergeCell ref="F1:G1"/>
    <mergeCell ref="A3:G3"/>
    <mergeCell ref="E73:E75"/>
    <mergeCell ref="F73:F75"/>
    <mergeCell ref="E77:E78"/>
    <mergeCell ref="F77:F78"/>
    <mergeCell ref="E79:E83"/>
    <mergeCell ref="F79:F83"/>
    <mergeCell ref="E85:E86"/>
    <mergeCell ref="F85:F86"/>
    <mergeCell ref="E90:E91"/>
    <mergeCell ref="F90:F91"/>
    <mergeCell ref="E96:E101"/>
    <mergeCell ref="F96:F101"/>
    <mergeCell ref="E103:E106"/>
    <mergeCell ref="F103:F106"/>
    <mergeCell ref="E112:E113"/>
    <mergeCell ref="F112:F113"/>
    <mergeCell ref="E115:E116"/>
    <mergeCell ref="F115:F116"/>
    <mergeCell ref="E117:E118"/>
    <mergeCell ref="F117:F118"/>
    <mergeCell ref="E121:E123"/>
    <mergeCell ref="F121:F123"/>
    <mergeCell ref="E124:E126"/>
    <mergeCell ref="F124:F126"/>
    <mergeCell ref="E128:E129"/>
    <mergeCell ref="F128:F129"/>
    <mergeCell ref="E132:E135"/>
    <mergeCell ref="F132:F135"/>
    <mergeCell ref="D248:D249"/>
    <mergeCell ref="E248:E249"/>
    <mergeCell ref="F248:F249"/>
    <mergeCell ref="E143:E145"/>
    <mergeCell ref="F143:F145"/>
    <mergeCell ref="F186:F193"/>
    <mergeCell ref="F210:F212"/>
    <mergeCell ref="E240:E241"/>
    <mergeCell ref="F240:F241"/>
    <mergeCell ref="E243:E245"/>
    <mergeCell ref="F243:F245"/>
    <mergeCell ref="D246:D247"/>
    <mergeCell ref="E246:E247"/>
    <mergeCell ref="F246:F247"/>
    <mergeCell ref="D250:D253"/>
    <mergeCell ref="E250:E253"/>
    <mergeCell ref="F250:F253"/>
    <mergeCell ref="D256:D257"/>
    <mergeCell ref="E256:E257"/>
    <mergeCell ref="F256:F257"/>
    <mergeCell ref="E365:E366"/>
    <mergeCell ref="F365:F366"/>
    <mergeCell ref="D268:D269"/>
    <mergeCell ref="E268:E269"/>
    <mergeCell ref="F268:F269"/>
    <mergeCell ref="E326:E327"/>
    <mergeCell ref="D338:D339"/>
    <mergeCell ref="E338:E339"/>
    <mergeCell ref="F338:F339"/>
    <mergeCell ref="D341:D342"/>
    <mergeCell ref="E341:E342"/>
    <mergeCell ref="F341:F342"/>
    <mergeCell ref="E362:E363"/>
    <mergeCell ref="F362:F363"/>
    <mergeCell ref="E367:E369"/>
    <mergeCell ref="F367:F369"/>
    <mergeCell ref="E371:E372"/>
    <mergeCell ref="F371:F372"/>
    <mergeCell ref="E374:E376"/>
    <mergeCell ref="F374:F376"/>
    <mergeCell ref="D382:D383"/>
    <mergeCell ref="E382:E383"/>
    <mergeCell ref="F382:F383"/>
    <mergeCell ref="A768:C768"/>
    <mergeCell ref="A770:C77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9" fitToHeight="0" orientation="landscape" r:id="rId1"/>
  <rowBreaks count="4" manualBreakCount="4">
    <brk id="51" max="9" man="1"/>
    <brk id="159" max="9" man="1"/>
    <brk id="269" max="9" man="1"/>
    <brk id="28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4792-9E98-4111-BF26-44BAC9014AAC}">
  <sheetPr>
    <tabColor rgb="FFC00000"/>
    <pageSetUpPr fitToPage="1"/>
  </sheetPr>
  <dimension ref="A1:T1020"/>
  <sheetViews>
    <sheetView tabSelected="1" view="pageBreakPreview" zoomScaleNormal="100" zoomScaleSheetLayoutView="100" workbookViewId="0">
      <selection activeCell="J5" sqref="J5"/>
    </sheetView>
  </sheetViews>
  <sheetFormatPr defaultColWidth="9.140625" defaultRowHeight="15.75" x14ac:dyDescent="0.25"/>
  <cols>
    <col min="1" max="1" width="17.5703125" style="5" customWidth="1"/>
    <col min="2" max="2" width="65.5703125" style="4" bestFit="1" customWidth="1"/>
    <col min="3" max="3" width="16" style="1" customWidth="1"/>
    <col min="4" max="4" width="18.5703125" style="3" customWidth="1"/>
    <col min="5" max="5" width="21.7109375" style="3" customWidth="1"/>
    <col min="6" max="6" width="12.28515625" style="3" customWidth="1"/>
    <col min="7" max="8" width="17" style="2" customWidth="1"/>
    <col min="9" max="9" width="10.85546875" style="1" customWidth="1"/>
    <col min="10" max="10" width="14.5703125" style="310" customWidth="1"/>
    <col min="11" max="11" width="20.7109375" style="1" customWidth="1"/>
    <col min="12" max="12" width="12.5703125" style="1" customWidth="1"/>
    <col min="13" max="13" width="18.42578125" style="1" customWidth="1"/>
    <col min="14" max="14" width="14" style="1" customWidth="1"/>
    <col min="15" max="15" width="19.28515625" style="1" customWidth="1"/>
    <col min="16" max="16" width="13.28515625" style="1" customWidth="1"/>
    <col min="17" max="20" width="9.140625" style="1" customWidth="1"/>
    <col min="21" max="16384" width="9.140625" style="1"/>
  </cols>
  <sheetData>
    <row r="1" spans="1:14" ht="22.5" customHeight="1" x14ac:dyDescent="0.25">
      <c r="F1" s="319" t="s">
        <v>683</v>
      </c>
      <c r="G1" s="1"/>
      <c r="H1" s="81"/>
    </row>
    <row r="2" spans="1:14" ht="16.5" customHeight="1" x14ac:dyDescent="0.25"/>
    <row r="3" spans="1:14" ht="26.25" customHeight="1" x14ac:dyDescent="0.25">
      <c r="A3" s="245" t="s">
        <v>1401</v>
      </c>
      <c r="B3" s="233"/>
      <c r="C3" s="233"/>
      <c r="D3" s="5"/>
      <c r="E3" s="5"/>
      <c r="F3" s="5"/>
      <c r="G3" s="233"/>
      <c r="H3" s="5"/>
    </row>
    <row r="4" spans="1:14" ht="10.5" customHeight="1" thickBot="1" x14ac:dyDescent="0.3"/>
    <row r="5" spans="1:14" s="3" customFormat="1" ht="189.75" thickBot="1" x14ac:dyDescent="0.3">
      <c r="A5" s="214" t="s">
        <v>681</v>
      </c>
      <c r="B5" s="215" t="s">
        <v>680</v>
      </c>
      <c r="C5" s="216" t="s">
        <v>679</v>
      </c>
      <c r="D5" s="216" t="s">
        <v>678</v>
      </c>
      <c r="E5" s="216" t="s">
        <v>677</v>
      </c>
      <c r="F5" s="216" t="s">
        <v>676</v>
      </c>
      <c r="G5" s="217" t="s">
        <v>725</v>
      </c>
      <c r="H5" s="134"/>
      <c r="J5" s="311"/>
    </row>
    <row r="6" spans="1:14" ht="15.75" customHeight="1" x14ac:dyDescent="0.25">
      <c r="A6" s="211">
        <v>1</v>
      </c>
      <c r="B6" s="212">
        <v>2</v>
      </c>
      <c r="C6" s="187">
        <v>3</v>
      </c>
      <c r="D6" s="187">
        <v>4</v>
      </c>
      <c r="E6" s="187">
        <v>5</v>
      </c>
      <c r="F6" s="187">
        <v>6</v>
      </c>
      <c r="G6" s="213">
        <v>7</v>
      </c>
      <c r="H6" s="3"/>
    </row>
    <row r="7" spans="1:14" s="30" customFormat="1" ht="15.75" customHeight="1" x14ac:dyDescent="0.25">
      <c r="A7" s="190" t="s">
        <v>744</v>
      </c>
      <c r="B7" s="34" t="s">
        <v>674</v>
      </c>
      <c r="C7" s="33"/>
      <c r="D7" s="17"/>
      <c r="E7" s="17"/>
      <c r="F7" s="17"/>
      <c r="G7" s="191"/>
      <c r="H7" s="135"/>
      <c r="J7" s="312"/>
    </row>
    <row r="8" spans="1:14" ht="31.5" customHeight="1" x14ac:dyDescent="0.25">
      <c r="A8" s="192" t="s">
        <v>745</v>
      </c>
      <c r="B8" s="29" t="s">
        <v>672</v>
      </c>
      <c r="C8" s="13"/>
      <c r="D8" s="12"/>
      <c r="E8" s="12"/>
      <c r="F8" s="12"/>
      <c r="G8" s="193"/>
    </row>
    <row r="9" spans="1:14" ht="31.5" customHeight="1" x14ac:dyDescent="0.25">
      <c r="A9" s="192" t="s">
        <v>746</v>
      </c>
      <c r="B9" s="29" t="s">
        <v>670</v>
      </c>
      <c r="C9" s="13"/>
      <c r="D9" s="12"/>
      <c r="E9" s="12"/>
      <c r="F9" s="12"/>
      <c r="G9" s="193"/>
    </row>
    <row r="10" spans="1:14" ht="31.5" customHeight="1" x14ac:dyDescent="0.25">
      <c r="A10" s="192" t="s">
        <v>747</v>
      </c>
      <c r="B10" s="29" t="s">
        <v>668</v>
      </c>
      <c r="C10" s="13"/>
      <c r="D10" s="12"/>
      <c r="E10" s="12"/>
      <c r="F10" s="12"/>
      <c r="G10" s="193"/>
    </row>
    <row r="11" spans="1:14" ht="80.099999999999994" customHeight="1" x14ac:dyDescent="0.25">
      <c r="A11" s="192" t="s">
        <v>748</v>
      </c>
      <c r="B11" s="29" t="s">
        <v>666</v>
      </c>
      <c r="C11" s="13"/>
      <c r="D11" s="12"/>
      <c r="E11" s="12"/>
      <c r="F11" s="12"/>
      <c r="G11" s="193"/>
    </row>
    <row r="12" spans="1:14" ht="18.95" customHeight="1" x14ac:dyDescent="0.25">
      <c r="A12" s="192" t="s">
        <v>749</v>
      </c>
      <c r="B12" s="29" t="s">
        <v>664</v>
      </c>
      <c r="C12" s="13"/>
      <c r="D12" s="12"/>
      <c r="E12" s="12"/>
      <c r="F12" s="12"/>
      <c r="G12" s="193"/>
    </row>
    <row r="13" spans="1:14" ht="30.75" customHeight="1" x14ac:dyDescent="0.25">
      <c r="A13" s="192" t="s">
        <v>787</v>
      </c>
      <c r="B13" s="29" t="s">
        <v>788</v>
      </c>
      <c r="C13" s="13"/>
      <c r="D13" s="12"/>
      <c r="E13" s="12"/>
      <c r="F13" s="12"/>
      <c r="G13" s="193"/>
    </row>
    <row r="14" spans="1:14" ht="17.25" customHeight="1" x14ac:dyDescent="0.25">
      <c r="A14" s="194" t="s">
        <v>751</v>
      </c>
      <c r="B14" s="83" t="s">
        <v>121</v>
      </c>
      <c r="C14" s="45">
        <v>2022</v>
      </c>
      <c r="D14" s="60">
        <v>0.4</v>
      </c>
      <c r="E14" s="45">
        <v>69</v>
      </c>
      <c r="F14" s="60">
        <v>15</v>
      </c>
      <c r="G14" s="195">
        <v>13.256209999999999</v>
      </c>
      <c r="H14" s="140"/>
      <c r="I14" s="57"/>
      <c r="J14" s="58"/>
      <c r="L14" s="57"/>
      <c r="N14" s="52"/>
    </row>
    <row r="15" spans="1:14" ht="17.25" customHeight="1" x14ac:dyDescent="0.25">
      <c r="A15" s="194" t="s">
        <v>751</v>
      </c>
      <c r="B15" s="83" t="s">
        <v>120</v>
      </c>
      <c r="C15" s="60">
        <v>2022</v>
      </c>
      <c r="D15" s="60">
        <v>0.4</v>
      </c>
      <c r="E15" s="45">
        <v>115</v>
      </c>
      <c r="F15" s="60">
        <v>15</v>
      </c>
      <c r="G15" s="195">
        <v>138.34119000000001</v>
      </c>
      <c r="H15" s="143"/>
      <c r="I15" s="57"/>
      <c r="J15" s="58"/>
      <c r="L15" s="57"/>
      <c r="N15" s="52"/>
    </row>
    <row r="16" spans="1:14" ht="17.25" customHeight="1" x14ac:dyDescent="0.25">
      <c r="A16" s="194" t="s">
        <v>751</v>
      </c>
      <c r="B16" s="83" t="s">
        <v>684</v>
      </c>
      <c r="C16" s="60">
        <v>2022</v>
      </c>
      <c r="D16" s="60">
        <v>0.4</v>
      </c>
      <c r="E16" s="45">
        <v>122</v>
      </c>
      <c r="F16" s="60">
        <v>9</v>
      </c>
      <c r="G16" s="195">
        <v>36.312186666666669</v>
      </c>
      <c r="H16" s="143"/>
      <c r="I16" s="57"/>
      <c r="J16" s="58"/>
      <c r="L16" s="57"/>
      <c r="N16" s="52"/>
    </row>
    <row r="17" spans="1:14" ht="17.25" customHeight="1" x14ac:dyDescent="0.25">
      <c r="A17" s="194" t="s">
        <v>751</v>
      </c>
      <c r="B17" s="83" t="s">
        <v>684</v>
      </c>
      <c r="C17" s="60">
        <v>2022</v>
      </c>
      <c r="D17" s="60">
        <v>0.4</v>
      </c>
      <c r="E17" s="45"/>
      <c r="F17" s="60"/>
      <c r="G17" s="195">
        <v>36.312186666666669</v>
      </c>
      <c r="H17" s="143"/>
      <c r="I17" s="57"/>
      <c r="J17" s="58"/>
      <c r="L17" s="57"/>
      <c r="N17" s="52"/>
    </row>
    <row r="18" spans="1:14" ht="17.25" customHeight="1" x14ac:dyDescent="0.25">
      <c r="A18" s="194" t="s">
        <v>751</v>
      </c>
      <c r="B18" s="83" t="s">
        <v>684</v>
      </c>
      <c r="C18" s="60">
        <v>2022</v>
      </c>
      <c r="D18" s="60">
        <v>0.4</v>
      </c>
      <c r="E18" s="45"/>
      <c r="F18" s="60"/>
      <c r="G18" s="195">
        <v>36.312186666666669</v>
      </c>
      <c r="H18" s="143"/>
      <c r="I18" s="57"/>
      <c r="J18" s="58"/>
      <c r="L18" s="57"/>
      <c r="N18" s="52"/>
    </row>
    <row r="19" spans="1:14" ht="17.25" customHeight="1" x14ac:dyDescent="0.25">
      <c r="A19" s="194" t="s">
        <v>751</v>
      </c>
      <c r="B19" s="83" t="s">
        <v>571</v>
      </c>
      <c r="C19" s="60">
        <v>2022</v>
      </c>
      <c r="D19" s="60">
        <v>0.4</v>
      </c>
      <c r="E19" s="60">
        <v>191</v>
      </c>
      <c r="F19" s="60">
        <v>15</v>
      </c>
      <c r="G19" s="195">
        <v>128.04181</v>
      </c>
      <c r="H19" s="143"/>
      <c r="I19" s="57"/>
      <c r="J19" s="58"/>
      <c r="L19" s="57"/>
      <c r="N19" s="52"/>
    </row>
    <row r="20" spans="1:14" ht="17.25" customHeight="1" x14ac:dyDescent="0.25">
      <c r="A20" s="194" t="s">
        <v>750</v>
      </c>
      <c r="B20" s="83" t="s">
        <v>395</v>
      </c>
      <c r="C20" s="60">
        <v>2022</v>
      </c>
      <c r="D20" s="60">
        <v>0.4</v>
      </c>
      <c r="E20" s="60">
        <v>100</v>
      </c>
      <c r="F20" s="60">
        <v>50</v>
      </c>
      <c r="G20" s="195">
        <v>32.056235999999998</v>
      </c>
      <c r="H20" s="143"/>
      <c r="I20" s="57"/>
      <c r="J20" s="58"/>
      <c r="L20" s="57"/>
      <c r="N20" s="52"/>
    </row>
    <row r="21" spans="1:14" ht="17.25" customHeight="1" x14ac:dyDescent="0.25">
      <c r="A21" s="194" t="s">
        <v>750</v>
      </c>
      <c r="B21" s="83" t="s">
        <v>395</v>
      </c>
      <c r="C21" s="60">
        <v>2022</v>
      </c>
      <c r="D21" s="60">
        <v>0.4</v>
      </c>
      <c r="E21" s="60">
        <v>136</v>
      </c>
      <c r="F21" s="60">
        <v>50</v>
      </c>
      <c r="G21" s="195">
        <v>32.056235999999998</v>
      </c>
      <c r="H21" s="143"/>
      <c r="I21" s="57"/>
      <c r="J21" s="58"/>
      <c r="L21" s="57"/>
      <c r="N21" s="52"/>
    </row>
    <row r="22" spans="1:14" ht="17.25" customHeight="1" x14ac:dyDescent="0.25">
      <c r="A22" s="194" t="s">
        <v>751</v>
      </c>
      <c r="B22" s="83" t="s">
        <v>119</v>
      </c>
      <c r="C22" s="60">
        <v>2022</v>
      </c>
      <c r="D22" s="60">
        <v>0.4</v>
      </c>
      <c r="E22" s="60">
        <v>68</v>
      </c>
      <c r="F22" s="60">
        <v>22</v>
      </c>
      <c r="G22" s="195">
        <v>2.2922640000000003</v>
      </c>
      <c r="H22" s="143"/>
      <c r="I22" s="57"/>
      <c r="J22" s="58"/>
      <c r="L22" s="57"/>
      <c r="N22" s="52"/>
    </row>
    <row r="23" spans="1:14" ht="17.25" customHeight="1" x14ac:dyDescent="0.25">
      <c r="A23" s="194" t="s">
        <v>751</v>
      </c>
      <c r="B23" s="83" t="s">
        <v>119</v>
      </c>
      <c r="C23" s="60">
        <v>2022</v>
      </c>
      <c r="D23" s="60">
        <v>0.4</v>
      </c>
      <c r="E23" s="60"/>
      <c r="F23" s="60"/>
      <c r="G23" s="195">
        <v>2.2922640000000003</v>
      </c>
      <c r="H23" s="143"/>
      <c r="I23" s="57"/>
      <c r="J23" s="58"/>
      <c r="L23" s="57"/>
      <c r="N23" s="52"/>
    </row>
    <row r="24" spans="1:14" ht="17.25" customHeight="1" x14ac:dyDescent="0.25">
      <c r="A24" s="194" t="s">
        <v>751</v>
      </c>
      <c r="B24" s="83" t="s">
        <v>118</v>
      </c>
      <c r="C24" s="60">
        <v>2022</v>
      </c>
      <c r="D24" s="60">
        <v>0.4</v>
      </c>
      <c r="E24" s="60"/>
      <c r="F24" s="60"/>
      <c r="G24" s="195">
        <v>2.2922640000000003</v>
      </c>
      <c r="H24" s="143"/>
      <c r="I24" s="57"/>
      <c r="J24" s="58"/>
      <c r="L24" s="57"/>
      <c r="N24" s="52"/>
    </row>
    <row r="25" spans="1:14" ht="17.25" customHeight="1" x14ac:dyDescent="0.25">
      <c r="A25" s="194" t="s">
        <v>751</v>
      </c>
      <c r="B25" s="83" t="s">
        <v>117</v>
      </c>
      <c r="C25" s="60">
        <v>2022</v>
      </c>
      <c r="D25" s="60">
        <v>0.4</v>
      </c>
      <c r="E25" s="60"/>
      <c r="F25" s="60"/>
      <c r="G25" s="195">
        <v>2.2922640000000003</v>
      </c>
      <c r="H25" s="143"/>
      <c r="I25" s="57"/>
      <c r="J25" s="58"/>
      <c r="L25" s="57"/>
      <c r="N25" s="52"/>
    </row>
    <row r="26" spans="1:14" ht="17.25" customHeight="1" x14ac:dyDescent="0.25">
      <c r="A26" s="194" t="s">
        <v>751</v>
      </c>
      <c r="B26" s="83" t="s">
        <v>393</v>
      </c>
      <c r="C26" s="60">
        <v>2022</v>
      </c>
      <c r="D26" s="60">
        <v>0.4</v>
      </c>
      <c r="E26" s="60"/>
      <c r="F26" s="60"/>
      <c r="G26" s="195">
        <v>2.2922640000000003</v>
      </c>
      <c r="H26" s="143"/>
      <c r="I26" s="57"/>
      <c r="J26" s="58"/>
      <c r="L26" s="57"/>
      <c r="N26" s="52"/>
    </row>
    <row r="27" spans="1:14" ht="17.25" customHeight="1" x14ac:dyDescent="0.25">
      <c r="A27" s="194" t="s">
        <v>751</v>
      </c>
      <c r="B27" s="83" t="s">
        <v>391</v>
      </c>
      <c r="C27" s="60">
        <v>2022</v>
      </c>
      <c r="D27" s="60">
        <v>0.4</v>
      </c>
      <c r="E27" s="45">
        <v>41</v>
      </c>
      <c r="F27" s="60">
        <v>5</v>
      </c>
      <c r="G27" s="195">
        <v>91.919070000000005</v>
      </c>
      <c r="H27" s="143"/>
      <c r="I27" s="57"/>
      <c r="J27" s="58"/>
      <c r="L27" s="57"/>
      <c r="N27" s="52"/>
    </row>
    <row r="28" spans="1:14" ht="17.25" customHeight="1" x14ac:dyDescent="0.25">
      <c r="A28" s="194" t="s">
        <v>750</v>
      </c>
      <c r="B28" s="83" t="s">
        <v>570</v>
      </c>
      <c r="C28" s="60">
        <v>2022</v>
      </c>
      <c r="D28" s="60">
        <v>0.4</v>
      </c>
      <c r="E28" s="45">
        <v>448</v>
      </c>
      <c r="F28" s="60">
        <v>30</v>
      </c>
      <c r="G28" s="195">
        <v>648.02440999999999</v>
      </c>
      <c r="H28" s="143"/>
      <c r="I28" s="57"/>
      <c r="J28" s="58"/>
      <c r="L28" s="57"/>
      <c r="N28" s="52"/>
    </row>
    <row r="29" spans="1:14" ht="17.25" customHeight="1" x14ac:dyDescent="0.25">
      <c r="A29" s="194" t="s">
        <v>750</v>
      </c>
      <c r="B29" s="83" t="s">
        <v>115</v>
      </c>
      <c r="C29" s="60">
        <v>2022</v>
      </c>
      <c r="D29" s="60">
        <v>0.4</v>
      </c>
      <c r="E29" s="45"/>
      <c r="F29" s="60"/>
      <c r="G29" s="195">
        <v>648.02440999999999</v>
      </c>
      <c r="H29" s="143"/>
      <c r="I29" s="57"/>
      <c r="J29" s="58"/>
      <c r="L29" s="57"/>
      <c r="N29" s="52"/>
    </row>
    <row r="30" spans="1:14" ht="17.25" customHeight="1" x14ac:dyDescent="0.25">
      <c r="A30" s="194" t="s">
        <v>751</v>
      </c>
      <c r="B30" s="83" t="s">
        <v>114</v>
      </c>
      <c r="C30" s="60">
        <v>2022</v>
      </c>
      <c r="D30" s="45">
        <v>0.4</v>
      </c>
      <c r="E30" s="45">
        <v>123</v>
      </c>
      <c r="F30" s="60">
        <v>15</v>
      </c>
      <c r="G30" s="195">
        <v>56.564900000000002</v>
      </c>
      <c r="H30" s="143"/>
      <c r="I30" s="57"/>
      <c r="J30" s="58"/>
      <c r="L30" s="57"/>
      <c r="N30" s="52"/>
    </row>
    <row r="31" spans="1:14" ht="17.25" customHeight="1" x14ac:dyDescent="0.25">
      <c r="A31" s="194" t="s">
        <v>751</v>
      </c>
      <c r="B31" s="83" t="s">
        <v>113</v>
      </c>
      <c r="C31" s="60">
        <v>2022</v>
      </c>
      <c r="D31" s="45">
        <v>0.4</v>
      </c>
      <c r="E31" s="45">
        <v>46</v>
      </c>
      <c r="F31" s="60">
        <v>15</v>
      </c>
      <c r="G31" s="195">
        <v>8.4797000000000011</v>
      </c>
      <c r="H31" s="143"/>
      <c r="I31" s="57"/>
      <c r="J31" s="58"/>
      <c r="L31" s="57"/>
      <c r="N31" s="52"/>
    </row>
    <row r="32" spans="1:14" ht="17.25" customHeight="1" x14ac:dyDescent="0.25">
      <c r="A32" s="194" t="s">
        <v>750</v>
      </c>
      <c r="B32" s="83" t="s">
        <v>112</v>
      </c>
      <c r="C32" s="60">
        <v>2022</v>
      </c>
      <c r="D32" s="45">
        <v>0.4</v>
      </c>
      <c r="E32" s="45">
        <v>371</v>
      </c>
      <c r="F32" s="60">
        <v>15</v>
      </c>
      <c r="G32" s="195">
        <v>581.23789999999997</v>
      </c>
      <c r="H32" s="143"/>
      <c r="I32" s="57"/>
      <c r="J32" s="58"/>
      <c r="L32" s="57"/>
      <c r="N32" s="52"/>
    </row>
    <row r="33" spans="1:14" ht="17.25" customHeight="1" x14ac:dyDescent="0.25">
      <c r="A33" s="194" t="s">
        <v>751</v>
      </c>
      <c r="B33" s="83" t="s">
        <v>569</v>
      </c>
      <c r="C33" s="60">
        <v>2022</v>
      </c>
      <c r="D33" s="45">
        <v>0.4</v>
      </c>
      <c r="E33" s="45">
        <v>42</v>
      </c>
      <c r="F33" s="60">
        <v>30</v>
      </c>
      <c r="G33" s="195">
        <v>45.409845000000004</v>
      </c>
      <c r="H33" s="143"/>
      <c r="I33" s="57"/>
      <c r="J33" s="58"/>
      <c r="L33" s="57"/>
      <c r="N33" s="52"/>
    </row>
    <row r="34" spans="1:14" ht="17.25" customHeight="1" x14ac:dyDescent="0.25">
      <c r="A34" s="194" t="s">
        <v>751</v>
      </c>
      <c r="B34" s="83" t="s">
        <v>569</v>
      </c>
      <c r="C34" s="60">
        <v>2022</v>
      </c>
      <c r="D34" s="45">
        <v>0.4</v>
      </c>
      <c r="E34" s="45"/>
      <c r="F34" s="60"/>
      <c r="G34" s="195">
        <v>45.409845000000004</v>
      </c>
      <c r="H34" s="143"/>
      <c r="I34" s="57"/>
      <c r="J34" s="58"/>
      <c r="L34" s="57"/>
      <c r="N34" s="52"/>
    </row>
    <row r="35" spans="1:14" ht="17.25" customHeight="1" x14ac:dyDescent="0.25">
      <c r="A35" s="194" t="s">
        <v>751</v>
      </c>
      <c r="B35" s="83" t="s">
        <v>111</v>
      </c>
      <c r="C35" s="60">
        <v>2022</v>
      </c>
      <c r="D35" s="45">
        <v>0.4</v>
      </c>
      <c r="E35" s="45">
        <v>56</v>
      </c>
      <c r="F35" s="60">
        <v>15</v>
      </c>
      <c r="G35" s="195">
        <v>11.063030000000001</v>
      </c>
      <c r="H35" s="143"/>
      <c r="I35" s="57"/>
      <c r="J35" s="58"/>
      <c r="L35" s="57"/>
      <c r="N35" s="52"/>
    </row>
    <row r="36" spans="1:14" ht="17.25" customHeight="1" x14ac:dyDescent="0.25">
      <c r="A36" s="194" t="s">
        <v>751</v>
      </c>
      <c r="B36" s="83" t="s">
        <v>110</v>
      </c>
      <c r="C36" s="60">
        <v>2022</v>
      </c>
      <c r="D36" s="45">
        <v>0.4</v>
      </c>
      <c r="E36" s="45">
        <v>147</v>
      </c>
      <c r="F36" s="60">
        <v>15</v>
      </c>
      <c r="G36" s="195">
        <v>258.78611000000001</v>
      </c>
      <c r="H36" s="143"/>
      <c r="I36" s="57"/>
      <c r="J36" s="58"/>
      <c r="L36" s="57"/>
      <c r="N36" s="52"/>
    </row>
    <row r="37" spans="1:14" ht="17.25" customHeight="1" x14ac:dyDescent="0.25">
      <c r="A37" s="194" t="s">
        <v>751</v>
      </c>
      <c r="B37" s="83" t="s">
        <v>109</v>
      </c>
      <c r="C37" s="60">
        <v>2022</v>
      </c>
      <c r="D37" s="45">
        <v>0.4</v>
      </c>
      <c r="E37" s="45">
        <v>100</v>
      </c>
      <c r="F37" s="60">
        <v>15</v>
      </c>
      <c r="G37" s="195">
        <v>22.181999999999999</v>
      </c>
      <c r="H37" s="143"/>
      <c r="I37" s="57"/>
      <c r="J37" s="58"/>
      <c r="L37" s="57"/>
      <c r="N37" s="52"/>
    </row>
    <row r="38" spans="1:14" ht="17.25" customHeight="1" x14ac:dyDescent="0.25">
      <c r="A38" s="194" t="s">
        <v>751</v>
      </c>
      <c r="B38" s="83" t="s">
        <v>394</v>
      </c>
      <c r="C38" s="60">
        <v>2022</v>
      </c>
      <c r="D38" s="60">
        <v>0.4</v>
      </c>
      <c r="E38" s="60">
        <v>57.5</v>
      </c>
      <c r="F38" s="60">
        <v>5</v>
      </c>
      <c r="G38" s="195">
        <v>124.84019000000001</v>
      </c>
      <c r="H38" s="143"/>
      <c r="I38" s="57"/>
      <c r="J38" s="58"/>
      <c r="L38" s="57"/>
      <c r="N38" s="52"/>
    </row>
    <row r="39" spans="1:14" ht="17.25" customHeight="1" x14ac:dyDescent="0.25">
      <c r="A39" s="194" t="s">
        <v>751</v>
      </c>
      <c r="B39" s="83" t="s">
        <v>568</v>
      </c>
      <c r="C39" s="60">
        <v>2022</v>
      </c>
      <c r="D39" s="60">
        <v>0.4</v>
      </c>
      <c r="E39" s="60">
        <v>104</v>
      </c>
      <c r="F39" s="60">
        <v>30</v>
      </c>
      <c r="G39" s="195">
        <v>35.048221666666663</v>
      </c>
      <c r="H39" s="143"/>
      <c r="I39" s="57"/>
      <c r="J39" s="58"/>
      <c r="L39" s="57"/>
      <c r="N39" s="52"/>
    </row>
    <row r="40" spans="1:14" ht="17.25" customHeight="1" x14ac:dyDescent="0.25">
      <c r="A40" s="194" t="s">
        <v>751</v>
      </c>
      <c r="B40" s="83" t="s">
        <v>568</v>
      </c>
      <c r="C40" s="60">
        <v>2022</v>
      </c>
      <c r="D40" s="60">
        <v>0.4</v>
      </c>
      <c r="E40" s="60"/>
      <c r="F40" s="60"/>
      <c r="G40" s="195">
        <v>35.048221666666663</v>
      </c>
      <c r="H40" s="143"/>
      <c r="I40" s="57"/>
      <c r="J40" s="58"/>
      <c r="L40" s="57"/>
      <c r="N40" s="52"/>
    </row>
    <row r="41" spans="1:14" ht="17.25" customHeight="1" x14ac:dyDescent="0.25">
      <c r="A41" s="194" t="s">
        <v>751</v>
      </c>
      <c r="B41" s="83" t="s">
        <v>568</v>
      </c>
      <c r="C41" s="60">
        <v>2022</v>
      </c>
      <c r="D41" s="60">
        <v>0.4</v>
      </c>
      <c r="E41" s="60"/>
      <c r="F41" s="60"/>
      <c r="G41" s="195">
        <v>35.048221666666663</v>
      </c>
      <c r="H41" s="143"/>
      <c r="I41" s="57"/>
      <c r="J41" s="58"/>
      <c r="L41" s="57"/>
      <c r="N41" s="52"/>
    </row>
    <row r="42" spans="1:14" ht="17.25" customHeight="1" x14ac:dyDescent="0.25">
      <c r="A42" s="194" t="s">
        <v>751</v>
      </c>
      <c r="B42" s="83" t="s">
        <v>568</v>
      </c>
      <c r="C42" s="60">
        <v>2022</v>
      </c>
      <c r="D42" s="60">
        <v>0.4</v>
      </c>
      <c r="E42" s="60"/>
      <c r="F42" s="60"/>
      <c r="G42" s="195">
        <v>35.048221666666663</v>
      </c>
      <c r="H42" s="143"/>
      <c r="I42" s="57"/>
      <c r="J42" s="58"/>
      <c r="L42" s="57"/>
      <c r="N42" s="52"/>
    </row>
    <row r="43" spans="1:14" ht="17.25" customHeight="1" x14ac:dyDescent="0.25">
      <c r="A43" s="194" t="s">
        <v>751</v>
      </c>
      <c r="B43" s="83" t="s">
        <v>568</v>
      </c>
      <c r="C43" s="60">
        <v>2022</v>
      </c>
      <c r="D43" s="60">
        <v>0.4</v>
      </c>
      <c r="E43" s="60"/>
      <c r="F43" s="60"/>
      <c r="G43" s="195">
        <v>35.048221666666663</v>
      </c>
      <c r="H43" s="143"/>
      <c r="I43" s="57"/>
      <c r="J43" s="58"/>
      <c r="L43" s="57"/>
      <c r="N43" s="52"/>
    </row>
    <row r="44" spans="1:14" ht="17.25" customHeight="1" x14ac:dyDescent="0.25">
      <c r="A44" s="194" t="s">
        <v>751</v>
      </c>
      <c r="B44" s="83" t="s">
        <v>568</v>
      </c>
      <c r="C44" s="60">
        <v>2022</v>
      </c>
      <c r="D44" s="60">
        <v>0.4</v>
      </c>
      <c r="E44" s="60"/>
      <c r="F44" s="60"/>
      <c r="G44" s="195">
        <v>35.048221666666663</v>
      </c>
      <c r="H44" s="143"/>
      <c r="I44" s="57"/>
      <c r="J44" s="58"/>
      <c r="L44" s="57"/>
      <c r="N44" s="52"/>
    </row>
    <row r="45" spans="1:14" ht="17.25" customHeight="1" x14ac:dyDescent="0.25">
      <c r="A45" s="194" t="s">
        <v>751</v>
      </c>
      <c r="B45" s="83" t="s">
        <v>108</v>
      </c>
      <c r="C45" s="60">
        <v>2022</v>
      </c>
      <c r="D45" s="60">
        <v>0.4</v>
      </c>
      <c r="E45" s="60">
        <v>79</v>
      </c>
      <c r="F45" s="60">
        <v>15</v>
      </c>
      <c r="G45" s="195">
        <v>145.10855000000001</v>
      </c>
      <c r="H45" s="143"/>
      <c r="I45" s="57"/>
      <c r="J45" s="58"/>
      <c r="L45" s="57"/>
      <c r="N45" s="52"/>
    </row>
    <row r="46" spans="1:14" ht="17.25" customHeight="1" x14ac:dyDescent="0.25">
      <c r="A46" s="194" t="s">
        <v>750</v>
      </c>
      <c r="B46" s="83" t="s">
        <v>107</v>
      </c>
      <c r="C46" s="60">
        <v>2022</v>
      </c>
      <c r="D46" s="60">
        <v>0.4</v>
      </c>
      <c r="E46" s="60">
        <v>552</v>
      </c>
      <c r="F46" s="60">
        <v>60</v>
      </c>
      <c r="G46" s="195">
        <v>154.34442249999998</v>
      </c>
      <c r="H46" s="143"/>
      <c r="I46" s="57"/>
      <c r="J46" s="58"/>
      <c r="L46" s="57"/>
      <c r="N46" s="52"/>
    </row>
    <row r="47" spans="1:14" ht="17.25" customHeight="1" x14ac:dyDescent="0.25">
      <c r="A47" s="194" t="s">
        <v>750</v>
      </c>
      <c r="B47" s="83" t="s">
        <v>106</v>
      </c>
      <c r="C47" s="60">
        <v>2022</v>
      </c>
      <c r="D47" s="60">
        <v>0.4</v>
      </c>
      <c r="E47" s="60"/>
      <c r="F47" s="60"/>
      <c r="G47" s="195">
        <v>154.34442249999998</v>
      </c>
      <c r="H47" s="143"/>
      <c r="I47" s="57"/>
      <c r="J47" s="58"/>
      <c r="L47" s="57"/>
      <c r="N47" s="52"/>
    </row>
    <row r="48" spans="1:14" ht="17.25" customHeight="1" x14ac:dyDescent="0.25">
      <c r="A48" s="194" t="s">
        <v>750</v>
      </c>
      <c r="B48" s="83" t="s">
        <v>105</v>
      </c>
      <c r="C48" s="60">
        <v>2022</v>
      </c>
      <c r="D48" s="60">
        <v>0.4</v>
      </c>
      <c r="E48" s="60"/>
      <c r="F48" s="60"/>
      <c r="G48" s="195">
        <v>154.34442249999998</v>
      </c>
      <c r="H48" s="143"/>
      <c r="I48" s="57"/>
      <c r="J48" s="58"/>
      <c r="L48" s="57"/>
      <c r="N48" s="52"/>
    </row>
    <row r="49" spans="1:16" ht="17.25" customHeight="1" x14ac:dyDescent="0.25">
      <c r="A49" s="194" t="s">
        <v>750</v>
      </c>
      <c r="B49" s="83" t="s">
        <v>104</v>
      </c>
      <c r="C49" s="60">
        <v>2022</v>
      </c>
      <c r="D49" s="60">
        <v>0.4</v>
      </c>
      <c r="E49" s="60"/>
      <c r="F49" s="60"/>
      <c r="G49" s="195">
        <v>154.34442249999998</v>
      </c>
      <c r="H49" s="143"/>
      <c r="I49" s="57"/>
      <c r="J49" s="58"/>
      <c r="L49" s="57"/>
      <c r="N49" s="52"/>
    </row>
    <row r="50" spans="1:16" ht="17.25" customHeight="1" x14ac:dyDescent="0.25">
      <c r="A50" s="196" t="s">
        <v>751</v>
      </c>
      <c r="B50" s="83" t="s">
        <v>103</v>
      </c>
      <c r="C50" s="45">
        <v>2022</v>
      </c>
      <c r="D50" s="45">
        <v>0.4</v>
      </c>
      <c r="E50" s="45">
        <v>45</v>
      </c>
      <c r="F50" s="45">
        <v>15</v>
      </c>
      <c r="G50" s="197">
        <v>28.080620000000003</v>
      </c>
      <c r="H50" s="143"/>
      <c r="I50" s="57"/>
      <c r="J50" s="58"/>
      <c r="L50" s="57"/>
      <c r="N50" s="52"/>
    </row>
    <row r="51" spans="1:16" ht="17.25" customHeight="1" x14ac:dyDescent="0.25">
      <c r="A51" s="196" t="s">
        <v>750</v>
      </c>
      <c r="B51" s="83" t="s">
        <v>102</v>
      </c>
      <c r="C51" s="45">
        <v>2022</v>
      </c>
      <c r="D51" s="45">
        <v>0.4</v>
      </c>
      <c r="E51" s="45">
        <v>95</v>
      </c>
      <c r="F51" s="45">
        <v>15</v>
      </c>
      <c r="G51" s="197">
        <v>36.26896</v>
      </c>
      <c r="H51" s="143"/>
      <c r="I51" s="57"/>
      <c r="J51" s="58"/>
      <c r="L51" s="57"/>
      <c r="N51" s="52"/>
    </row>
    <row r="52" spans="1:16" ht="17.25" customHeight="1" thickBot="1" x14ac:dyDescent="0.3">
      <c r="A52" s="196" t="s">
        <v>751</v>
      </c>
      <c r="B52" s="83" t="s">
        <v>686</v>
      </c>
      <c r="C52" s="45">
        <v>2022</v>
      </c>
      <c r="D52" s="45">
        <v>0.4</v>
      </c>
      <c r="E52" s="45">
        <v>306</v>
      </c>
      <c r="F52" s="45">
        <v>8</v>
      </c>
      <c r="G52" s="197">
        <v>153.31413000000001</v>
      </c>
      <c r="H52" s="143"/>
      <c r="I52" s="57"/>
      <c r="J52" s="58"/>
      <c r="L52" s="57"/>
      <c r="N52" s="52"/>
    </row>
    <row r="53" spans="1:16" ht="17.25" customHeight="1" thickBot="1" x14ac:dyDescent="0.3">
      <c r="A53" s="196" t="s">
        <v>750</v>
      </c>
      <c r="B53" s="83" t="s">
        <v>686</v>
      </c>
      <c r="C53" s="45">
        <v>2022</v>
      </c>
      <c r="D53" s="45">
        <v>6</v>
      </c>
      <c r="E53" s="45">
        <v>332</v>
      </c>
      <c r="F53" s="45">
        <v>376</v>
      </c>
      <c r="G53" s="197">
        <v>19.300729787234044</v>
      </c>
      <c r="H53" s="143"/>
      <c r="I53" s="57"/>
      <c r="J53" s="58"/>
      <c r="L53" s="57"/>
      <c r="N53" s="164"/>
      <c r="O53" s="163"/>
      <c r="P53" s="165"/>
    </row>
    <row r="54" spans="1:16" ht="17.25" customHeight="1" x14ac:dyDescent="0.25">
      <c r="A54" s="196" t="s">
        <v>751</v>
      </c>
      <c r="B54" s="83" t="s">
        <v>101</v>
      </c>
      <c r="C54" s="45">
        <v>2022</v>
      </c>
      <c r="D54" s="45">
        <v>0.4</v>
      </c>
      <c r="E54" s="45"/>
      <c r="F54" s="45">
        <v>15</v>
      </c>
      <c r="G54" s="197">
        <v>8.8737300000000001</v>
      </c>
      <c r="H54" s="143"/>
      <c r="I54" s="57"/>
      <c r="J54" s="58"/>
      <c r="L54" s="57"/>
      <c r="N54" s="52"/>
    </row>
    <row r="55" spans="1:16" ht="17.25" customHeight="1" x14ac:dyDescent="0.25">
      <c r="A55" s="196" t="s">
        <v>750</v>
      </c>
      <c r="B55" s="83" t="s">
        <v>100</v>
      </c>
      <c r="C55" s="45">
        <v>2022</v>
      </c>
      <c r="D55" s="45">
        <v>0.4</v>
      </c>
      <c r="E55" s="45">
        <v>384</v>
      </c>
      <c r="F55" s="45">
        <v>60</v>
      </c>
      <c r="G55" s="197">
        <v>69.66122</v>
      </c>
      <c r="H55" s="143"/>
      <c r="I55" s="57"/>
      <c r="J55" s="58"/>
      <c r="L55" s="57"/>
      <c r="N55" s="52"/>
    </row>
    <row r="56" spans="1:16" ht="17.25" customHeight="1" x14ac:dyDescent="0.25">
      <c r="A56" s="194" t="s">
        <v>750</v>
      </c>
      <c r="B56" s="61" t="s">
        <v>99</v>
      </c>
      <c r="C56" s="60">
        <v>2022</v>
      </c>
      <c r="D56" s="60">
        <v>0.4</v>
      </c>
      <c r="E56" s="45"/>
      <c r="F56" s="45"/>
      <c r="G56" s="195">
        <v>69.66122</v>
      </c>
      <c r="H56" s="143"/>
      <c r="I56" s="57"/>
      <c r="J56" s="58"/>
      <c r="L56" s="57"/>
      <c r="N56" s="52"/>
    </row>
    <row r="57" spans="1:16" ht="17.25" customHeight="1" x14ac:dyDescent="0.25">
      <c r="A57" s="194" t="s">
        <v>750</v>
      </c>
      <c r="B57" s="61" t="s">
        <v>99</v>
      </c>
      <c r="C57" s="60">
        <v>2022</v>
      </c>
      <c r="D57" s="60">
        <v>0.4</v>
      </c>
      <c r="E57" s="60">
        <v>150</v>
      </c>
      <c r="F57" s="60">
        <v>15</v>
      </c>
      <c r="G57" s="195">
        <v>261.86140999999998</v>
      </c>
      <c r="H57" s="143"/>
      <c r="I57" s="57"/>
      <c r="J57" s="58"/>
      <c r="L57" s="57"/>
      <c r="N57" s="52"/>
    </row>
    <row r="58" spans="1:16" ht="17.25" customHeight="1" x14ac:dyDescent="0.25">
      <c r="A58" s="194" t="s">
        <v>751</v>
      </c>
      <c r="B58" s="61" t="s">
        <v>98</v>
      </c>
      <c r="C58" s="60">
        <v>2022</v>
      </c>
      <c r="D58" s="60">
        <v>0.4</v>
      </c>
      <c r="E58" s="60">
        <v>105</v>
      </c>
      <c r="F58" s="60">
        <v>30</v>
      </c>
      <c r="G58" s="195">
        <v>111.149305</v>
      </c>
      <c r="H58" s="143"/>
      <c r="I58" s="57"/>
      <c r="J58" s="58"/>
      <c r="L58" s="57"/>
      <c r="N58" s="52"/>
    </row>
    <row r="59" spans="1:16" ht="17.25" customHeight="1" x14ac:dyDescent="0.25">
      <c r="A59" s="194" t="s">
        <v>751</v>
      </c>
      <c r="B59" s="61" t="s">
        <v>97</v>
      </c>
      <c r="C59" s="60">
        <v>2022</v>
      </c>
      <c r="D59" s="60">
        <v>0.4</v>
      </c>
      <c r="E59" s="60"/>
      <c r="F59" s="60"/>
      <c r="G59" s="195">
        <v>111.149305</v>
      </c>
      <c r="H59" s="143"/>
      <c r="I59" s="57"/>
      <c r="J59" s="58"/>
      <c r="L59" s="57"/>
      <c r="N59" s="52"/>
    </row>
    <row r="60" spans="1:16" ht="17.25" customHeight="1" x14ac:dyDescent="0.25">
      <c r="A60" s="194" t="s">
        <v>750</v>
      </c>
      <c r="B60" s="61" t="s">
        <v>98</v>
      </c>
      <c r="C60" s="60">
        <v>2022</v>
      </c>
      <c r="D60" s="60">
        <v>10</v>
      </c>
      <c r="E60" s="60">
        <v>692</v>
      </c>
      <c r="F60" s="60">
        <v>93</v>
      </c>
      <c r="G60" s="195">
        <v>164.16344838709679</v>
      </c>
      <c r="H60" s="143"/>
      <c r="I60" s="57"/>
      <c r="J60" s="58"/>
      <c r="L60" s="57"/>
      <c r="N60" s="52"/>
    </row>
    <row r="61" spans="1:16" ht="17.25" customHeight="1" x14ac:dyDescent="0.25">
      <c r="A61" s="194" t="s">
        <v>750</v>
      </c>
      <c r="B61" s="61" t="s">
        <v>97</v>
      </c>
      <c r="C61" s="60">
        <v>2022</v>
      </c>
      <c r="D61" s="60">
        <v>10</v>
      </c>
      <c r="E61" s="60"/>
      <c r="F61" s="60"/>
      <c r="G61" s="195">
        <v>164.16344838709679</v>
      </c>
      <c r="H61" s="143"/>
      <c r="I61" s="57"/>
      <c r="J61" s="58"/>
      <c r="L61" s="57"/>
      <c r="N61" s="52"/>
    </row>
    <row r="62" spans="1:16" ht="17.25" customHeight="1" x14ac:dyDescent="0.25">
      <c r="A62" s="194" t="s">
        <v>751</v>
      </c>
      <c r="B62" s="61" t="s">
        <v>96</v>
      </c>
      <c r="C62" s="60">
        <v>2022</v>
      </c>
      <c r="D62" s="60">
        <v>0.4</v>
      </c>
      <c r="E62" s="60">
        <v>64</v>
      </c>
      <c r="F62" s="60">
        <v>15</v>
      </c>
      <c r="G62" s="195">
        <v>21.712240000000001</v>
      </c>
      <c r="H62" s="143"/>
      <c r="I62" s="57"/>
      <c r="J62" s="58"/>
      <c r="L62" s="57"/>
      <c r="N62" s="52"/>
    </row>
    <row r="63" spans="1:16" ht="17.25" customHeight="1" x14ac:dyDescent="0.25">
      <c r="A63" s="194" t="s">
        <v>751</v>
      </c>
      <c r="B63" s="61" t="s">
        <v>95</v>
      </c>
      <c r="C63" s="60">
        <v>2022</v>
      </c>
      <c r="D63" s="60">
        <v>0.4</v>
      </c>
      <c r="E63" s="60">
        <v>47</v>
      </c>
      <c r="F63" s="60">
        <v>15</v>
      </c>
      <c r="G63" s="195">
        <v>17.27572</v>
      </c>
      <c r="H63" s="143"/>
      <c r="I63" s="57"/>
      <c r="J63" s="58"/>
      <c r="L63" s="57"/>
      <c r="N63" s="52"/>
    </row>
    <row r="64" spans="1:16" ht="17.25" customHeight="1" x14ac:dyDescent="0.25">
      <c r="A64" s="194" t="s">
        <v>750</v>
      </c>
      <c r="B64" s="61" t="s">
        <v>96</v>
      </c>
      <c r="C64" s="60">
        <v>2022</v>
      </c>
      <c r="D64" s="60">
        <v>0.4</v>
      </c>
      <c r="E64" s="60">
        <v>323</v>
      </c>
      <c r="F64" s="60">
        <v>185</v>
      </c>
      <c r="G64" s="195">
        <v>25.961518378378379</v>
      </c>
      <c r="H64" s="143"/>
      <c r="I64" s="57"/>
      <c r="J64" s="58"/>
      <c r="L64" s="57"/>
      <c r="N64" s="52"/>
    </row>
    <row r="65" spans="1:14" ht="17.25" customHeight="1" x14ac:dyDescent="0.25">
      <c r="A65" s="194" t="s">
        <v>750</v>
      </c>
      <c r="B65" s="61" t="s">
        <v>95</v>
      </c>
      <c r="C65" s="60">
        <v>2022</v>
      </c>
      <c r="D65" s="60">
        <v>0.4</v>
      </c>
      <c r="E65" s="60"/>
      <c r="F65" s="60"/>
      <c r="G65" s="195">
        <v>25.961518378378379</v>
      </c>
      <c r="H65" s="143"/>
      <c r="I65" s="57"/>
      <c r="J65" s="58"/>
      <c r="L65" s="57"/>
      <c r="N65" s="52"/>
    </row>
    <row r="66" spans="1:14" ht="17.25" customHeight="1" x14ac:dyDescent="0.25">
      <c r="A66" s="194" t="s">
        <v>750</v>
      </c>
      <c r="B66" s="61" t="s">
        <v>94</v>
      </c>
      <c r="C66" s="60">
        <v>2022</v>
      </c>
      <c r="D66" s="60">
        <v>0.4</v>
      </c>
      <c r="E66" s="60"/>
      <c r="F66" s="60"/>
      <c r="G66" s="195">
        <v>8.6538394594594585</v>
      </c>
      <c r="H66" s="143"/>
      <c r="I66" s="57"/>
      <c r="J66" s="58"/>
      <c r="L66" s="57"/>
      <c r="N66" s="52"/>
    </row>
    <row r="67" spans="1:14" ht="17.25" customHeight="1" x14ac:dyDescent="0.25">
      <c r="A67" s="194" t="s">
        <v>751</v>
      </c>
      <c r="B67" s="61" t="s">
        <v>96</v>
      </c>
      <c r="C67" s="60">
        <v>2022</v>
      </c>
      <c r="D67" s="60">
        <v>10</v>
      </c>
      <c r="E67" s="60">
        <v>303</v>
      </c>
      <c r="F67" s="60">
        <v>232.5</v>
      </c>
      <c r="G67" s="195">
        <v>50.682601935483866</v>
      </c>
      <c r="H67" s="143"/>
      <c r="I67" s="57"/>
      <c r="J67" s="58"/>
      <c r="L67" s="57"/>
      <c r="N67" s="52"/>
    </row>
    <row r="68" spans="1:14" ht="17.25" customHeight="1" x14ac:dyDescent="0.25">
      <c r="A68" s="194" t="s">
        <v>751</v>
      </c>
      <c r="B68" s="61" t="s">
        <v>95</v>
      </c>
      <c r="C68" s="60">
        <v>2022</v>
      </c>
      <c r="D68" s="60">
        <v>10</v>
      </c>
      <c r="E68" s="60"/>
      <c r="F68" s="60"/>
      <c r="G68" s="195">
        <v>50.682601935483866</v>
      </c>
      <c r="H68" s="143"/>
      <c r="I68" s="57"/>
      <c r="J68" s="58"/>
      <c r="L68" s="57"/>
      <c r="N68" s="52"/>
    </row>
    <row r="69" spans="1:14" ht="17.25" customHeight="1" x14ac:dyDescent="0.25">
      <c r="A69" s="194" t="s">
        <v>751</v>
      </c>
      <c r="B69" s="61" t="s">
        <v>94</v>
      </c>
      <c r="C69" s="60">
        <v>2022</v>
      </c>
      <c r="D69" s="60">
        <v>10</v>
      </c>
      <c r="E69" s="60"/>
      <c r="F69" s="60"/>
      <c r="G69" s="195">
        <v>16.894200645161288</v>
      </c>
      <c r="H69" s="143"/>
      <c r="I69" s="57"/>
      <c r="J69" s="58"/>
      <c r="L69" s="57"/>
      <c r="N69" s="52"/>
    </row>
    <row r="70" spans="1:14" ht="17.25" customHeight="1" x14ac:dyDescent="0.25">
      <c r="A70" s="194" t="s">
        <v>750</v>
      </c>
      <c r="B70" s="61" t="s">
        <v>572</v>
      </c>
      <c r="C70" s="60">
        <v>2022</v>
      </c>
      <c r="D70" s="60">
        <v>0.4</v>
      </c>
      <c r="E70" s="60">
        <v>117</v>
      </c>
      <c r="F70" s="60">
        <v>80</v>
      </c>
      <c r="G70" s="195">
        <v>213.61079000000001</v>
      </c>
      <c r="H70" s="57"/>
      <c r="J70" s="58"/>
      <c r="L70" s="57"/>
      <c r="N70" s="52"/>
    </row>
    <row r="71" spans="1:14" ht="17.25" customHeight="1" x14ac:dyDescent="0.25">
      <c r="A71" s="194" t="s">
        <v>750</v>
      </c>
      <c r="B71" s="61" t="s">
        <v>395</v>
      </c>
      <c r="C71" s="60">
        <v>2022</v>
      </c>
      <c r="D71" s="60">
        <v>0.4</v>
      </c>
      <c r="E71" s="60">
        <v>236</v>
      </c>
      <c r="F71" s="60">
        <v>100</v>
      </c>
      <c r="G71" s="195">
        <v>106.85411999999999</v>
      </c>
      <c r="H71" s="143"/>
      <c r="I71" s="57"/>
      <c r="J71" s="58"/>
      <c r="L71" s="57"/>
      <c r="N71" s="52"/>
    </row>
    <row r="72" spans="1:14" ht="17.25" customHeight="1" x14ac:dyDescent="0.25">
      <c r="A72" s="194" t="s">
        <v>750</v>
      </c>
      <c r="B72" s="61" t="s">
        <v>394</v>
      </c>
      <c r="C72" s="60">
        <v>2022</v>
      </c>
      <c r="D72" s="60">
        <v>0.4</v>
      </c>
      <c r="E72" s="60"/>
      <c r="F72" s="60"/>
      <c r="G72" s="195">
        <v>42.741647999999991</v>
      </c>
      <c r="H72" s="143"/>
      <c r="I72" s="57"/>
      <c r="J72" s="58"/>
      <c r="L72" s="57"/>
      <c r="N72" s="52"/>
    </row>
    <row r="73" spans="1:14" ht="17.25" customHeight="1" x14ac:dyDescent="0.25">
      <c r="A73" s="194" t="s">
        <v>751</v>
      </c>
      <c r="B73" s="61" t="s">
        <v>394</v>
      </c>
      <c r="C73" s="60">
        <v>2022</v>
      </c>
      <c r="D73" s="60">
        <v>0.4</v>
      </c>
      <c r="E73" s="60">
        <v>85</v>
      </c>
      <c r="F73" s="60">
        <v>20</v>
      </c>
      <c r="G73" s="195">
        <v>51.329180000000001</v>
      </c>
      <c r="H73" s="143"/>
      <c r="I73" s="57"/>
      <c r="J73" s="58"/>
      <c r="L73" s="57"/>
      <c r="N73" s="52"/>
    </row>
    <row r="74" spans="1:14" ht="17.25" customHeight="1" x14ac:dyDescent="0.25">
      <c r="A74" s="194" t="s">
        <v>751</v>
      </c>
      <c r="B74" s="61" t="s">
        <v>389</v>
      </c>
      <c r="C74" s="60">
        <v>2022</v>
      </c>
      <c r="D74" s="60">
        <v>0.4</v>
      </c>
      <c r="E74" s="60">
        <v>142</v>
      </c>
      <c r="F74" s="60">
        <v>30</v>
      </c>
      <c r="G74" s="195">
        <v>200.83535999999998</v>
      </c>
      <c r="H74" s="143"/>
      <c r="I74" s="57"/>
      <c r="J74" s="58"/>
      <c r="L74" s="57"/>
      <c r="N74" s="52"/>
    </row>
    <row r="75" spans="1:14" ht="17.25" customHeight="1" x14ac:dyDescent="0.25">
      <c r="A75" s="194" t="s">
        <v>752</v>
      </c>
      <c r="B75" s="61" t="s">
        <v>492</v>
      </c>
      <c r="C75" s="60">
        <v>2022</v>
      </c>
      <c r="D75" s="60">
        <v>0.4</v>
      </c>
      <c r="E75" s="60">
        <v>101.5</v>
      </c>
      <c r="F75" s="60">
        <v>140</v>
      </c>
      <c r="G75" s="195">
        <v>93.452928571428572</v>
      </c>
      <c r="H75" s="143"/>
      <c r="I75" s="57"/>
      <c r="J75" s="58"/>
      <c r="L75" s="57"/>
      <c r="N75" s="52"/>
    </row>
    <row r="76" spans="1:14" ht="17.25" customHeight="1" x14ac:dyDescent="0.25">
      <c r="A76" s="194" t="s">
        <v>752</v>
      </c>
      <c r="B76" s="61" t="s">
        <v>491</v>
      </c>
      <c r="C76" s="60">
        <v>2022</v>
      </c>
      <c r="D76" s="60">
        <v>0.4</v>
      </c>
      <c r="E76" s="60"/>
      <c r="F76" s="60"/>
      <c r="G76" s="195">
        <v>70.089696428571415</v>
      </c>
      <c r="H76" s="143"/>
      <c r="I76" s="57"/>
      <c r="J76" s="58"/>
      <c r="L76" s="57"/>
      <c r="N76" s="52"/>
    </row>
    <row r="77" spans="1:14" ht="17.25" customHeight="1" x14ac:dyDescent="0.25">
      <c r="A77" s="194" t="s">
        <v>752</v>
      </c>
      <c r="B77" s="61" t="s">
        <v>490</v>
      </c>
      <c r="C77" s="60">
        <v>2022</v>
      </c>
      <c r="D77" s="60">
        <v>0.4</v>
      </c>
      <c r="E77" s="60"/>
      <c r="F77" s="60"/>
      <c r="G77" s="195">
        <v>93.452928571428572</v>
      </c>
      <c r="H77" s="143"/>
      <c r="I77" s="57"/>
      <c r="J77" s="58"/>
      <c r="L77" s="57"/>
      <c r="N77" s="52"/>
    </row>
    <row r="78" spans="1:14" ht="17.25" customHeight="1" x14ac:dyDescent="0.25">
      <c r="A78" s="194" t="s">
        <v>752</v>
      </c>
      <c r="B78" s="61" t="s">
        <v>489</v>
      </c>
      <c r="C78" s="60">
        <v>2022</v>
      </c>
      <c r="D78" s="60">
        <v>0.4</v>
      </c>
      <c r="E78" s="60"/>
      <c r="F78" s="60"/>
      <c r="G78" s="195">
        <v>70.089696428571415</v>
      </c>
      <c r="H78" s="143"/>
      <c r="I78" s="57"/>
      <c r="J78" s="58"/>
      <c r="L78" s="57"/>
      <c r="N78" s="52"/>
    </row>
    <row r="79" spans="1:14" ht="17.25" customHeight="1" x14ac:dyDescent="0.25">
      <c r="A79" s="194" t="s">
        <v>750</v>
      </c>
      <c r="B79" s="61" t="s">
        <v>567</v>
      </c>
      <c r="C79" s="60">
        <v>2022</v>
      </c>
      <c r="D79" s="60">
        <v>0.4</v>
      </c>
      <c r="E79" s="60">
        <v>145</v>
      </c>
      <c r="F79" s="60">
        <v>58</v>
      </c>
      <c r="G79" s="195">
        <v>144.71563</v>
      </c>
      <c r="H79" s="143"/>
      <c r="I79" s="57"/>
      <c r="J79" s="58"/>
      <c r="L79" s="57"/>
      <c r="N79" s="52"/>
    </row>
    <row r="80" spans="1:14" ht="17.25" customHeight="1" x14ac:dyDescent="0.25">
      <c r="A80" s="194" t="s">
        <v>750</v>
      </c>
      <c r="B80" s="61" t="s">
        <v>387</v>
      </c>
      <c r="C80" s="60">
        <v>2022</v>
      </c>
      <c r="D80" s="60">
        <v>0.4</v>
      </c>
      <c r="E80" s="60">
        <v>221</v>
      </c>
      <c r="F80" s="60">
        <v>60</v>
      </c>
      <c r="G80" s="195">
        <v>198.1876</v>
      </c>
      <c r="H80" s="143"/>
      <c r="I80" s="57"/>
      <c r="J80" s="58"/>
      <c r="L80" s="57"/>
      <c r="N80" s="52"/>
    </row>
    <row r="81" spans="1:14" ht="17.25" customHeight="1" x14ac:dyDescent="0.25">
      <c r="A81" s="194" t="s">
        <v>750</v>
      </c>
      <c r="B81" s="61" t="s">
        <v>350</v>
      </c>
      <c r="C81" s="60">
        <v>2022</v>
      </c>
      <c r="D81" s="60">
        <v>0.4</v>
      </c>
      <c r="E81" s="60">
        <v>101</v>
      </c>
      <c r="F81" s="60">
        <v>125</v>
      </c>
      <c r="G81" s="195">
        <v>105.75003</v>
      </c>
      <c r="H81" s="143"/>
      <c r="I81" s="57"/>
      <c r="J81" s="58"/>
      <c r="L81" s="57"/>
      <c r="N81" s="52"/>
    </row>
    <row r="82" spans="1:14" ht="17.25" customHeight="1" x14ac:dyDescent="0.25">
      <c r="A82" s="194" t="s">
        <v>751</v>
      </c>
      <c r="B82" s="61" t="s">
        <v>350</v>
      </c>
      <c r="C82" s="60">
        <v>2022</v>
      </c>
      <c r="D82" s="60">
        <v>6</v>
      </c>
      <c r="E82" s="60">
        <v>10</v>
      </c>
      <c r="F82" s="60">
        <v>150.39999999999998</v>
      </c>
      <c r="G82" s="195">
        <v>67.15625831117022</v>
      </c>
      <c r="H82" s="143"/>
      <c r="I82" s="57"/>
      <c r="J82" s="58"/>
      <c r="L82" s="57"/>
      <c r="N82" s="52"/>
    </row>
    <row r="83" spans="1:14" ht="17.25" customHeight="1" x14ac:dyDescent="0.25">
      <c r="A83" s="194" t="s">
        <v>750</v>
      </c>
      <c r="B83" s="61" t="s">
        <v>566</v>
      </c>
      <c r="C83" s="60">
        <v>2022</v>
      </c>
      <c r="D83" s="60">
        <v>0.4</v>
      </c>
      <c r="E83" s="60">
        <v>240</v>
      </c>
      <c r="F83" s="60">
        <v>50</v>
      </c>
      <c r="G83" s="195">
        <v>362.13458000000003</v>
      </c>
      <c r="H83" s="143"/>
      <c r="I83" s="57"/>
      <c r="J83" s="58"/>
      <c r="L83" s="57"/>
      <c r="N83" s="52"/>
    </row>
    <row r="84" spans="1:14" ht="17.25" customHeight="1" x14ac:dyDescent="0.25">
      <c r="A84" s="194" t="s">
        <v>753</v>
      </c>
      <c r="B84" s="61" t="s">
        <v>348</v>
      </c>
      <c r="C84" s="60">
        <v>2022</v>
      </c>
      <c r="D84" s="60">
        <v>0.4</v>
      </c>
      <c r="E84" s="60">
        <v>93</v>
      </c>
      <c r="F84" s="60">
        <v>100</v>
      </c>
      <c r="G84" s="195">
        <v>230.1994</v>
      </c>
      <c r="H84" s="143"/>
      <c r="I84" s="57"/>
      <c r="J84" s="58"/>
      <c r="L84" s="57"/>
      <c r="N84" s="52"/>
    </row>
    <row r="85" spans="1:14" ht="17.25" customHeight="1" x14ac:dyDescent="0.25">
      <c r="A85" s="194" t="s">
        <v>750</v>
      </c>
      <c r="B85" s="61" t="s">
        <v>346</v>
      </c>
      <c r="C85" s="60">
        <v>2022</v>
      </c>
      <c r="D85" s="60">
        <v>0.4</v>
      </c>
      <c r="E85" s="60">
        <v>197</v>
      </c>
      <c r="F85" s="60">
        <v>50</v>
      </c>
      <c r="G85" s="195">
        <v>167.42985999999999</v>
      </c>
      <c r="H85" s="143"/>
      <c r="I85" s="57"/>
      <c r="J85" s="58"/>
      <c r="L85" s="57"/>
      <c r="N85" s="52"/>
    </row>
    <row r="86" spans="1:14" ht="17.25" customHeight="1" x14ac:dyDescent="0.25">
      <c r="A86" s="194" t="s">
        <v>750</v>
      </c>
      <c r="B86" s="61" t="s">
        <v>346</v>
      </c>
      <c r="C86" s="60">
        <v>2022</v>
      </c>
      <c r="D86" s="60">
        <v>6</v>
      </c>
      <c r="E86" s="60">
        <v>337</v>
      </c>
      <c r="F86" s="60">
        <v>376</v>
      </c>
      <c r="G86" s="195">
        <v>120.62956117021277</v>
      </c>
      <c r="H86" s="143"/>
      <c r="I86" s="57"/>
      <c r="J86" s="58"/>
      <c r="L86" s="57"/>
      <c r="N86" s="52"/>
    </row>
    <row r="87" spans="1:14" ht="17.25" customHeight="1" x14ac:dyDescent="0.25">
      <c r="A87" s="194" t="s">
        <v>750</v>
      </c>
      <c r="B87" s="61" t="s">
        <v>345</v>
      </c>
      <c r="C87" s="60">
        <v>2022</v>
      </c>
      <c r="D87" s="60">
        <v>6</v>
      </c>
      <c r="E87" s="60"/>
      <c r="F87" s="60"/>
      <c r="G87" s="195">
        <v>361.88868351063832</v>
      </c>
      <c r="H87" s="143"/>
      <c r="I87" s="57"/>
      <c r="J87" s="58"/>
      <c r="L87" s="57"/>
      <c r="N87" s="52"/>
    </row>
    <row r="88" spans="1:14" ht="17.25" customHeight="1" x14ac:dyDescent="0.25">
      <c r="A88" s="194" t="s">
        <v>750</v>
      </c>
      <c r="B88" s="61" t="s">
        <v>344</v>
      </c>
      <c r="C88" s="60">
        <v>2022</v>
      </c>
      <c r="D88" s="60">
        <v>6</v>
      </c>
      <c r="E88" s="60"/>
      <c r="F88" s="60"/>
      <c r="G88" s="195">
        <v>361.88868351063832</v>
      </c>
      <c r="H88" s="143"/>
      <c r="I88" s="57"/>
      <c r="J88" s="58"/>
      <c r="L88" s="57"/>
      <c r="N88" s="52"/>
    </row>
    <row r="89" spans="1:14" ht="17.25" customHeight="1" x14ac:dyDescent="0.25">
      <c r="A89" s="194" t="s">
        <v>751</v>
      </c>
      <c r="B89" s="61" t="s">
        <v>343</v>
      </c>
      <c r="C89" s="60">
        <v>2022</v>
      </c>
      <c r="D89" s="60">
        <v>0.4</v>
      </c>
      <c r="E89" s="60">
        <v>6</v>
      </c>
      <c r="F89" s="60">
        <v>65</v>
      </c>
      <c r="G89" s="195">
        <v>17.137409999999999</v>
      </c>
      <c r="H89" s="143"/>
      <c r="I89" s="57"/>
      <c r="J89" s="58"/>
      <c r="L89" s="57"/>
      <c r="N89" s="52"/>
    </row>
    <row r="90" spans="1:14" ht="17.25" customHeight="1" x14ac:dyDescent="0.25">
      <c r="A90" s="194" t="s">
        <v>751</v>
      </c>
      <c r="B90" s="61" t="s">
        <v>343</v>
      </c>
      <c r="C90" s="60">
        <v>2022</v>
      </c>
      <c r="D90" s="60">
        <v>6</v>
      </c>
      <c r="E90" s="60">
        <v>12</v>
      </c>
      <c r="F90" s="60">
        <v>94</v>
      </c>
      <c r="G90" s="195">
        <v>66.39242446808511</v>
      </c>
      <c r="H90" s="143"/>
      <c r="I90" s="57"/>
      <c r="J90" s="58"/>
      <c r="L90" s="57"/>
      <c r="N90" s="52"/>
    </row>
    <row r="91" spans="1:14" ht="17.25" customHeight="1" x14ac:dyDescent="0.25">
      <c r="A91" s="194" t="s">
        <v>750</v>
      </c>
      <c r="B91" s="61" t="s">
        <v>342</v>
      </c>
      <c r="C91" s="60">
        <v>2022</v>
      </c>
      <c r="D91" s="60">
        <v>0.4</v>
      </c>
      <c r="E91" s="60">
        <v>654</v>
      </c>
      <c r="F91" s="60">
        <v>150</v>
      </c>
      <c r="G91" s="195">
        <v>862.94430378378377</v>
      </c>
      <c r="H91" s="143"/>
      <c r="I91" s="57"/>
      <c r="J91" s="58"/>
      <c r="L91" s="57"/>
      <c r="N91" s="52"/>
    </row>
    <row r="92" spans="1:14" ht="17.25" customHeight="1" x14ac:dyDescent="0.25">
      <c r="A92" s="194" t="s">
        <v>751</v>
      </c>
      <c r="B92" s="61" t="s">
        <v>342</v>
      </c>
      <c r="C92" s="60">
        <v>2022</v>
      </c>
      <c r="D92" s="60">
        <v>10</v>
      </c>
      <c r="E92" s="60">
        <v>303</v>
      </c>
      <c r="F92" s="60">
        <v>232.5</v>
      </c>
      <c r="G92" s="195">
        <v>506.82601935483865</v>
      </c>
      <c r="H92" s="143"/>
      <c r="I92" s="57"/>
      <c r="J92" s="58"/>
      <c r="L92" s="57"/>
      <c r="N92" s="52"/>
    </row>
    <row r="93" spans="1:14" ht="17.25" customHeight="1" x14ac:dyDescent="0.25">
      <c r="A93" s="194" t="s">
        <v>752</v>
      </c>
      <c r="B93" s="61" t="s">
        <v>340</v>
      </c>
      <c r="C93" s="60">
        <v>2022</v>
      </c>
      <c r="D93" s="60">
        <v>0.4</v>
      </c>
      <c r="E93" s="60">
        <v>200</v>
      </c>
      <c r="F93" s="60">
        <v>100</v>
      </c>
      <c r="G93" s="195">
        <v>470.17372999999998</v>
      </c>
      <c r="H93" s="143"/>
      <c r="I93" s="57"/>
      <c r="J93" s="58"/>
      <c r="L93" s="57"/>
      <c r="N93" s="52"/>
    </row>
    <row r="94" spans="1:14" ht="17.25" customHeight="1" x14ac:dyDescent="0.25">
      <c r="A94" s="284" t="s">
        <v>751</v>
      </c>
      <c r="B94" s="61" t="s">
        <v>1021</v>
      </c>
      <c r="C94" s="122">
        <v>2023</v>
      </c>
      <c r="D94" s="60">
        <v>0.4</v>
      </c>
      <c r="E94" s="122">
        <v>76</v>
      </c>
      <c r="F94" s="229">
        <v>7</v>
      </c>
      <c r="G94" s="283">
        <v>31.59571</v>
      </c>
      <c r="H94" s="143"/>
      <c r="I94" s="57"/>
      <c r="J94" s="58"/>
      <c r="L94" s="285"/>
      <c r="N94" s="52"/>
    </row>
    <row r="95" spans="1:14" ht="17.25" customHeight="1" x14ac:dyDescent="0.25">
      <c r="A95" s="264" t="s">
        <v>751</v>
      </c>
      <c r="B95" s="61" t="s">
        <v>1022</v>
      </c>
      <c r="C95" s="120">
        <v>2023</v>
      </c>
      <c r="D95" s="120">
        <v>0.4</v>
      </c>
      <c r="E95" s="120">
        <v>357</v>
      </c>
      <c r="F95" s="97">
        <v>15</v>
      </c>
      <c r="G95" s="109">
        <v>337.88036</v>
      </c>
      <c r="H95" s="143"/>
      <c r="I95" s="57"/>
      <c r="J95" s="58"/>
      <c r="L95" s="285"/>
      <c r="N95" s="52"/>
    </row>
    <row r="96" spans="1:14" ht="17.25" customHeight="1" x14ac:dyDescent="0.25">
      <c r="A96" s="264" t="s">
        <v>751</v>
      </c>
      <c r="B96" s="61" t="s">
        <v>1023</v>
      </c>
      <c r="C96" s="120">
        <v>2022</v>
      </c>
      <c r="D96" s="120">
        <v>0.4</v>
      </c>
      <c r="E96" s="111">
        <v>194</v>
      </c>
      <c r="F96" s="97">
        <v>15</v>
      </c>
      <c r="G96" s="109">
        <v>91.227119999999999</v>
      </c>
      <c r="H96" s="143"/>
      <c r="I96" s="57"/>
      <c r="J96" s="58"/>
      <c r="L96" s="285"/>
      <c r="N96" s="52"/>
    </row>
    <row r="97" spans="1:14" ht="17.25" customHeight="1" x14ac:dyDescent="0.25">
      <c r="A97" s="264" t="s">
        <v>751</v>
      </c>
      <c r="B97" s="83" t="s">
        <v>1024</v>
      </c>
      <c r="C97" s="120">
        <v>2023</v>
      </c>
      <c r="D97" s="120">
        <v>0.4</v>
      </c>
      <c r="E97" s="120">
        <v>84</v>
      </c>
      <c r="F97" s="97">
        <v>15</v>
      </c>
      <c r="G97" s="109">
        <v>161.99597</v>
      </c>
      <c r="H97" s="143"/>
      <c r="I97" s="57"/>
      <c r="J97" s="58"/>
      <c r="L97" s="285"/>
      <c r="N97" s="52"/>
    </row>
    <row r="98" spans="1:14" ht="17.25" customHeight="1" x14ac:dyDescent="0.25">
      <c r="A98" s="264" t="s">
        <v>751</v>
      </c>
      <c r="B98" s="61" t="s">
        <v>1025</v>
      </c>
      <c r="C98" s="120">
        <v>2023</v>
      </c>
      <c r="D98" s="120">
        <v>0.4</v>
      </c>
      <c r="E98" s="120">
        <f>221+22</f>
        <v>243</v>
      </c>
      <c r="F98" s="97">
        <v>15</v>
      </c>
      <c r="G98" s="109">
        <v>381.12887000000001</v>
      </c>
      <c r="H98" s="143"/>
      <c r="I98" s="57"/>
      <c r="J98" s="58"/>
      <c r="L98" s="285"/>
      <c r="N98" s="52"/>
    </row>
    <row r="99" spans="1:14" ht="17.25" customHeight="1" x14ac:dyDescent="0.25">
      <c r="A99" s="264" t="s">
        <v>751</v>
      </c>
      <c r="B99" s="61" t="s">
        <v>1026</v>
      </c>
      <c r="C99" s="120">
        <v>2023</v>
      </c>
      <c r="D99" s="120">
        <v>0.4</v>
      </c>
      <c r="E99" s="120">
        <v>58</v>
      </c>
      <c r="F99" s="97">
        <v>15</v>
      </c>
      <c r="G99" s="109">
        <v>113.15733</v>
      </c>
      <c r="H99" s="143"/>
      <c r="I99" s="57"/>
      <c r="J99" s="58"/>
      <c r="L99" s="285"/>
      <c r="N99" s="52"/>
    </row>
    <row r="100" spans="1:14" ht="17.25" customHeight="1" x14ac:dyDescent="0.25">
      <c r="A100" s="194" t="s">
        <v>751</v>
      </c>
      <c r="B100" s="61" t="s">
        <v>1027</v>
      </c>
      <c r="C100" s="120">
        <v>2023</v>
      </c>
      <c r="D100" s="120">
        <v>0.4</v>
      </c>
      <c r="E100" s="120">
        <v>69</v>
      </c>
      <c r="F100" s="97">
        <v>5</v>
      </c>
      <c r="G100" s="109">
        <v>14.83099</v>
      </c>
      <c r="H100" s="143"/>
      <c r="I100" s="57"/>
      <c r="J100" s="58"/>
      <c r="L100" s="285"/>
      <c r="N100" s="52"/>
    </row>
    <row r="101" spans="1:14" ht="17.25" customHeight="1" x14ac:dyDescent="0.25">
      <c r="A101" s="264" t="s">
        <v>751</v>
      </c>
      <c r="B101" s="61" t="s">
        <v>1028</v>
      </c>
      <c r="C101" s="120">
        <v>2023</v>
      </c>
      <c r="D101" s="120">
        <v>0.4</v>
      </c>
      <c r="E101" s="120">
        <v>45</v>
      </c>
      <c r="F101" s="97">
        <v>15</v>
      </c>
      <c r="G101" s="109">
        <v>21.524439999999998</v>
      </c>
      <c r="H101" s="143"/>
      <c r="I101" s="57"/>
      <c r="J101" s="58"/>
      <c r="L101" s="285"/>
      <c r="N101" s="52"/>
    </row>
    <row r="102" spans="1:14" ht="17.25" customHeight="1" x14ac:dyDescent="0.25">
      <c r="A102" s="281" t="s">
        <v>751</v>
      </c>
      <c r="B102" s="61" t="s">
        <v>1029</v>
      </c>
      <c r="C102" s="120">
        <v>2023</v>
      </c>
      <c r="D102" s="120">
        <v>0.4</v>
      </c>
      <c r="E102" s="120">
        <v>134</v>
      </c>
      <c r="F102" s="97">
        <v>5</v>
      </c>
      <c r="G102" s="109">
        <v>15.95364</v>
      </c>
      <c r="H102" s="143"/>
      <c r="I102" s="57"/>
      <c r="J102" s="58"/>
      <c r="L102" s="285"/>
      <c r="N102" s="52"/>
    </row>
    <row r="103" spans="1:14" ht="17.25" customHeight="1" x14ac:dyDescent="0.25">
      <c r="A103" s="281" t="s">
        <v>751</v>
      </c>
      <c r="B103" s="61" t="s">
        <v>1030</v>
      </c>
      <c r="C103" s="120">
        <v>2022</v>
      </c>
      <c r="D103" s="120">
        <v>0.4</v>
      </c>
      <c r="E103" s="120">
        <v>332</v>
      </c>
      <c r="F103" s="97">
        <v>8</v>
      </c>
      <c r="G103" s="109">
        <v>153.31413000000001</v>
      </c>
      <c r="H103" s="143"/>
      <c r="I103" s="57"/>
      <c r="J103" s="58"/>
      <c r="L103" s="285"/>
      <c r="N103" s="52"/>
    </row>
    <row r="104" spans="1:14" ht="17.25" customHeight="1" x14ac:dyDescent="0.25">
      <c r="A104" s="264" t="s">
        <v>751</v>
      </c>
      <c r="B104" s="61" t="s">
        <v>1031</v>
      </c>
      <c r="C104" s="120">
        <v>2022</v>
      </c>
      <c r="D104" s="120">
        <v>0.4</v>
      </c>
      <c r="E104" s="120">
        <v>109</v>
      </c>
      <c r="F104" s="97">
        <v>30</v>
      </c>
      <c r="G104" s="109">
        <v>210.28932999999998</v>
      </c>
      <c r="H104" s="143"/>
      <c r="I104" s="57"/>
      <c r="J104" s="58"/>
      <c r="L104" s="285"/>
      <c r="N104" s="52"/>
    </row>
    <row r="105" spans="1:14" ht="17.25" customHeight="1" x14ac:dyDescent="0.25">
      <c r="A105" s="194" t="s">
        <v>751</v>
      </c>
      <c r="B105" s="83" t="s">
        <v>1032</v>
      </c>
      <c r="C105" s="120">
        <v>2023</v>
      </c>
      <c r="D105" s="120">
        <v>0.4</v>
      </c>
      <c r="E105" s="120">
        <v>21</v>
      </c>
      <c r="F105" s="97">
        <v>15</v>
      </c>
      <c r="G105" s="109">
        <v>15.860299999999999</v>
      </c>
      <c r="H105" s="143"/>
      <c r="I105" s="57"/>
      <c r="J105" s="58"/>
      <c r="L105" s="285"/>
      <c r="N105" s="52"/>
    </row>
    <row r="106" spans="1:14" ht="17.25" customHeight="1" x14ac:dyDescent="0.25">
      <c r="A106" s="264" t="s">
        <v>751</v>
      </c>
      <c r="B106" s="83" t="s">
        <v>1033</v>
      </c>
      <c r="C106" s="120">
        <v>2022</v>
      </c>
      <c r="D106" s="120">
        <v>0.4</v>
      </c>
      <c r="E106" s="120">
        <v>60</v>
      </c>
      <c r="F106" s="97">
        <v>5</v>
      </c>
      <c r="G106" s="109">
        <v>124.84019000000001</v>
      </c>
      <c r="H106" s="143"/>
      <c r="I106" s="57"/>
      <c r="J106" s="58"/>
      <c r="L106" s="285"/>
      <c r="N106" s="52"/>
    </row>
    <row r="107" spans="1:14" ht="17.25" customHeight="1" x14ac:dyDescent="0.25">
      <c r="A107" s="264" t="s">
        <v>751</v>
      </c>
      <c r="B107" s="61" t="s">
        <v>1034</v>
      </c>
      <c r="C107" s="60">
        <v>2022</v>
      </c>
      <c r="D107" s="120">
        <v>0.4</v>
      </c>
      <c r="E107" s="120">
        <v>43</v>
      </c>
      <c r="F107" s="97">
        <v>15</v>
      </c>
      <c r="G107" s="109">
        <v>292.75441999999998</v>
      </c>
      <c r="H107" s="143"/>
      <c r="I107" s="57"/>
      <c r="J107" s="58"/>
      <c r="L107" s="285"/>
      <c r="N107" s="52"/>
    </row>
    <row r="108" spans="1:14" ht="17.25" customHeight="1" x14ac:dyDescent="0.25">
      <c r="A108" s="264" t="s">
        <v>751</v>
      </c>
      <c r="B108" s="61" t="s">
        <v>1035</v>
      </c>
      <c r="C108" s="120">
        <v>2022</v>
      </c>
      <c r="D108" s="120">
        <v>0.4</v>
      </c>
      <c r="E108" s="120">
        <v>191</v>
      </c>
      <c r="F108" s="97">
        <v>5</v>
      </c>
      <c r="G108" s="109">
        <v>128.04181</v>
      </c>
      <c r="H108" s="143"/>
      <c r="I108" s="57"/>
      <c r="J108" s="58"/>
      <c r="L108" s="285"/>
      <c r="N108" s="52"/>
    </row>
    <row r="109" spans="1:14" ht="17.25" customHeight="1" x14ac:dyDescent="0.25">
      <c r="A109" s="281" t="s">
        <v>751</v>
      </c>
      <c r="B109" s="61" t="s">
        <v>1036</v>
      </c>
      <c r="C109" s="120">
        <v>2022</v>
      </c>
      <c r="D109" s="120">
        <v>0.4</v>
      </c>
      <c r="E109" s="120">
        <v>68</v>
      </c>
      <c r="F109" s="97">
        <v>5</v>
      </c>
      <c r="G109" s="109">
        <v>11.461319999999999</v>
      </c>
      <c r="H109" s="143"/>
      <c r="I109" s="57"/>
      <c r="J109" s="58"/>
      <c r="L109" s="285"/>
      <c r="N109" s="52"/>
    </row>
    <row r="110" spans="1:14" ht="17.25" customHeight="1" x14ac:dyDescent="0.25">
      <c r="A110" s="281" t="s">
        <v>751</v>
      </c>
      <c r="B110" s="61" t="s">
        <v>1053</v>
      </c>
      <c r="C110" s="97">
        <v>2022</v>
      </c>
      <c r="D110" s="120">
        <v>0.4</v>
      </c>
      <c r="E110" s="120">
        <v>42</v>
      </c>
      <c r="F110" s="97">
        <v>15</v>
      </c>
      <c r="G110" s="246">
        <v>90.819690000000008</v>
      </c>
      <c r="H110" s="143"/>
      <c r="I110" s="57"/>
      <c r="J110" s="58"/>
      <c r="L110" s="285"/>
      <c r="N110" s="52"/>
    </row>
    <row r="111" spans="1:14" ht="17.25" customHeight="1" x14ac:dyDescent="0.25">
      <c r="A111" s="281" t="s">
        <v>751</v>
      </c>
      <c r="B111" s="61" t="s">
        <v>1052</v>
      </c>
      <c r="C111" s="97">
        <v>2022</v>
      </c>
      <c r="D111" s="120">
        <v>0.4</v>
      </c>
      <c r="E111" s="120">
        <v>173</v>
      </c>
      <c r="F111" s="97">
        <v>3</v>
      </c>
      <c r="G111" s="109">
        <v>108.93656</v>
      </c>
      <c r="H111" s="143"/>
      <c r="I111" s="57"/>
      <c r="J111" s="58"/>
      <c r="L111" s="285"/>
      <c r="N111" s="52"/>
    </row>
    <row r="112" spans="1:14" ht="17.25" customHeight="1" x14ac:dyDescent="0.25">
      <c r="A112" s="264" t="s">
        <v>751</v>
      </c>
      <c r="B112" s="61" t="s">
        <v>1051</v>
      </c>
      <c r="C112" s="120">
        <v>2023</v>
      </c>
      <c r="D112" s="120">
        <v>0.4</v>
      </c>
      <c r="E112" s="120">
        <v>216</v>
      </c>
      <c r="F112" s="97">
        <v>5</v>
      </c>
      <c r="G112" s="109">
        <v>232.50645</v>
      </c>
      <c r="H112" s="143"/>
      <c r="I112" s="57"/>
      <c r="J112" s="58"/>
      <c r="L112" s="285"/>
      <c r="N112" s="52"/>
    </row>
    <row r="113" spans="1:14" ht="17.25" customHeight="1" x14ac:dyDescent="0.25">
      <c r="A113" s="264" t="s">
        <v>750</v>
      </c>
      <c r="B113" s="61" t="s">
        <v>1050</v>
      </c>
      <c r="C113" s="120">
        <v>2023</v>
      </c>
      <c r="D113" s="120">
        <v>10</v>
      </c>
      <c r="E113" s="120">
        <v>1470</v>
      </c>
      <c r="F113" s="97"/>
      <c r="G113" s="109">
        <v>1184.22954</v>
      </c>
      <c r="H113" s="143"/>
      <c r="I113" s="57"/>
      <c r="J113" s="58"/>
      <c r="L113" s="285"/>
      <c r="N113" s="52"/>
    </row>
    <row r="114" spans="1:14" ht="17.25" customHeight="1" x14ac:dyDescent="0.25">
      <c r="A114" s="264" t="s">
        <v>751</v>
      </c>
      <c r="B114" s="61" t="s">
        <v>1056</v>
      </c>
      <c r="C114" s="120">
        <v>2023</v>
      </c>
      <c r="D114" s="120">
        <v>0.4</v>
      </c>
      <c r="E114" s="120">
        <v>465</v>
      </c>
      <c r="F114" s="97">
        <v>15</v>
      </c>
      <c r="G114" s="109">
        <v>335.14441999999997</v>
      </c>
      <c r="H114" s="143"/>
      <c r="I114" s="57"/>
      <c r="J114" s="58"/>
      <c r="L114" s="285"/>
      <c r="N114" s="52"/>
    </row>
    <row r="115" spans="1:14" ht="17.25" customHeight="1" x14ac:dyDescent="0.25">
      <c r="A115" s="264" t="s">
        <v>750</v>
      </c>
      <c r="B115" s="61" t="s">
        <v>1055</v>
      </c>
      <c r="C115" s="120">
        <v>2023</v>
      </c>
      <c r="D115" s="120">
        <v>0.4</v>
      </c>
      <c r="E115" s="111">
        <f>344+176</f>
        <v>520</v>
      </c>
      <c r="F115" s="97">
        <v>15</v>
      </c>
      <c r="G115" s="109">
        <v>988.23784000000001</v>
      </c>
      <c r="H115" s="143"/>
      <c r="I115" s="57"/>
      <c r="J115" s="58"/>
      <c r="L115" s="285"/>
      <c r="N115" s="52"/>
    </row>
    <row r="116" spans="1:14" ht="17.25" customHeight="1" x14ac:dyDescent="0.25">
      <c r="A116" s="264" t="s">
        <v>750</v>
      </c>
      <c r="B116" s="83" t="s">
        <v>1054</v>
      </c>
      <c r="C116" s="120">
        <v>2023</v>
      </c>
      <c r="D116" s="120">
        <v>0.4</v>
      </c>
      <c r="E116" s="120">
        <f>298.3+85.1</f>
        <v>383.4</v>
      </c>
      <c r="F116" s="97">
        <v>15</v>
      </c>
      <c r="G116" s="109">
        <v>558.74824000000001</v>
      </c>
      <c r="H116" s="143"/>
      <c r="I116" s="57"/>
      <c r="J116" s="58"/>
      <c r="L116" s="285"/>
      <c r="N116" s="52"/>
    </row>
    <row r="117" spans="1:14" ht="17.25" customHeight="1" x14ac:dyDescent="0.25">
      <c r="A117" s="264" t="s">
        <v>750</v>
      </c>
      <c r="B117" s="61" t="s">
        <v>1049</v>
      </c>
      <c r="C117" s="120">
        <v>2022</v>
      </c>
      <c r="D117" s="120">
        <v>0.4</v>
      </c>
      <c r="E117" s="120">
        <v>448</v>
      </c>
      <c r="F117" s="97">
        <v>15</v>
      </c>
      <c r="G117" s="109">
        <v>1296.04882</v>
      </c>
      <c r="H117" s="143"/>
      <c r="I117" s="57"/>
      <c r="J117" s="58"/>
      <c r="L117" s="285"/>
      <c r="N117" s="52"/>
    </row>
    <row r="118" spans="1:14" ht="17.25" customHeight="1" x14ac:dyDescent="0.25">
      <c r="A118" s="281" t="s">
        <v>750</v>
      </c>
      <c r="B118" s="61" t="s">
        <v>1048</v>
      </c>
      <c r="C118" s="120">
        <v>2022</v>
      </c>
      <c r="D118" s="120">
        <v>0.4</v>
      </c>
      <c r="E118" s="120">
        <v>236</v>
      </c>
      <c r="F118" s="97">
        <v>15</v>
      </c>
      <c r="G118" s="109">
        <v>213.70823999999999</v>
      </c>
      <c r="H118" s="143"/>
      <c r="I118" s="57"/>
      <c r="J118" s="58"/>
      <c r="L118" s="285"/>
      <c r="N118" s="52"/>
    </row>
    <row r="119" spans="1:14" ht="17.25" customHeight="1" x14ac:dyDescent="0.25">
      <c r="A119" s="264" t="s">
        <v>750</v>
      </c>
      <c r="B119" s="61" t="s">
        <v>1047</v>
      </c>
      <c r="C119" s="120">
        <v>2023</v>
      </c>
      <c r="D119" s="120">
        <v>0.4</v>
      </c>
      <c r="E119" s="120">
        <v>114</v>
      </c>
      <c r="F119" s="97">
        <v>141.49</v>
      </c>
      <c r="G119" s="109">
        <v>193.66782000000001</v>
      </c>
      <c r="H119" s="143"/>
      <c r="I119" s="57"/>
      <c r="J119" s="58"/>
      <c r="L119" s="285"/>
      <c r="N119" s="52"/>
    </row>
    <row r="120" spans="1:14" ht="17.25" customHeight="1" x14ac:dyDescent="0.25">
      <c r="A120" s="264" t="s">
        <v>750</v>
      </c>
      <c r="B120" s="61" t="s">
        <v>1048</v>
      </c>
      <c r="C120" s="120">
        <v>2023</v>
      </c>
      <c r="D120" s="120">
        <v>0.4</v>
      </c>
      <c r="E120" s="120">
        <v>236</v>
      </c>
      <c r="F120" s="97">
        <v>15</v>
      </c>
      <c r="G120" s="109">
        <v>51329.18</v>
      </c>
      <c r="H120" s="143"/>
      <c r="I120" s="57"/>
      <c r="J120" s="58"/>
      <c r="L120" s="285"/>
      <c r="N120" s="52"/>
    </row>
    <row r="121" spans="1:14" ht="17.25" customHeight="1" x14ac:dyDescent="0.25">
      <c r="A121" s="264" t="s">
        <v>753</v>
      </c>
      <c r="B121" s="61" t="s">
        <v>1038</v>
      </c>
      <c r="C121" s="120">
        <v>2023</v>
      </c>
      <c r="D121" s="120">
        <v>0.4</v>
      </c>
      <c r="E121" s="120">
        <v>105</v>
      </c>
      <c r="F121" s="97">
        <v>5</v>
      </c>
      <c r="G121" s="109">
        <v>123.02508</v>
      </c>
      <c r="H121" s="143"/>
      <c r="I121" s="57"/>
      <c r="J121" s="58"/>
      <c r="L121" s="285"/>
      <c r="N121" s="52"/>
    </row>
    <row r="122" spans="1:14" ht="17.25" customHeight="1" x14ac:dyDescent="0.25">
      <c r="A122" s="264" t="s">
        <v>753</v>
      </c>
      <c r="B122" s="61" t="s">
        <v>1039</v>
      </c>
      <c r="C122" s="120">
        <v>2023</v>
      </c>
      <c r="D122" s="120">
        <v>0.4</v>
      </c>
      <c r="E122" s="120">
        <v>564</v>
      </c>
      <c r="F122" s="97">
        <v>15</v>
      </c>
      <c r="G122" s="109">
        <v>621.93667000000005</v>
      </c>
      <c r="H122" s="143"/>
      <c r="I122" s="57"/>
      <c r="J122" s="58"/>
      <c r="L122" s="285"/>
      <c r="N122" s="52"/>
    </row>
    <row r="123" spans="1:14" ht="17.25" customHeight="1" x14ac:dyDescent="0.25">
      <c r="A123" s="264" t="s">
        <v>751</v>
      </c>
      <c r="B123" s="61" t="s">
        <v>1040</v>
      </c>
      <c r="C123" s="120">
        <v>2023</v>
      </c>
      <c r="D123" s="120">
        <v>0.4</v>
      </c>
      <c r="E123" s="120">
        <v>16</v>
      </c>
      <c r="F123" s="97">
        <v>5</v>
      </c>
      <c r="G123" s="109">
        <v>14.61101</v>
      </c>
      <c r="H123" s="143"/>
      <c r="I123" s="57"/>
      <c r="J123" s="58"/>
      <c r="L123" s="285"/>
      <c r="N123" s="52"/>
    </row>
    <row r="124" spans="1:14" ht="17.25" customHeight="1" x14ac:dyDescent="0.25">
      <c r="A124" s="264" t="s">
        <v>751</v>
      </c>
      <c r="B124" s="61" t="s">
        <v>1041</v>
      </c>
      <c r="C124" s="120">
        <v>2023</v>
      </c>
      <c r="D124" s="120">
        <v>0.4</v>
      </c>
      <c r="E124" s="120">
        <v>23</v>
      </c>
      <c r="F124" s="97">
        <v>5</v>
      </c>
      <c r="G124" s="109">
        <v>21.085039999999999</v>
      </c>
      <c r="H124" s="143"/>
      <c r="I124" s="57"/>
      <c r="J124" s="58"/>
      <c r="L124" s="285"/>
      <c r="N124" s="52"/>
    </row>
    <row r="125" spans="1:14" ht="17.25" customHeight="1" x14ac:dyDescent="0.25">
      <c r="A125" s="264" t="s">
        <v>751</v>
      </c>
      <c r="B125" s="61" t="s">
        <v>1042</v>
      </c>
      <c r="C125" s="120">
        <v>2023</v>
      </c>
      <c r="D125" s="120">
        <v>0.4</v>
      </c>
      <c r="E125" s="120">
        <v>39</v>
      </c>
      <c r="F125" s="97">
        <v>15</v>
      </c>
      <c r="G125" s="109">
        <v>40.404780000000002</v>
      </c>
      <c r="H125" s="143"/>
      <c r="I125" s="57"/>
      <c r="J125" s="58"/>
      <c r="L125" s="285"/>
      <c r="N125" s="52"/>
    </row>
    <row r="126" spans="1:14" ht="17.25" customHeight="1" x14ac:dyDescent="0.25">
      <c r="A126" s="264" t="s">
        <v>751</v>
      </c>
      <c r="B126" s="61" t="s">
        <v>1043</v>
      </c>
      <c r="C126" s="120">
        <v>2023</v>
      </c>
      <c r="D126" s="120">
        <v>0.4</v>
      </c>
      <c r="E126" s="120">
        <v>12</v>
      </c>
      <c r="F126" s="97">
        <v>5</v>
      </c>
      <c r="G126" s="279">
        <v>642.27062999999998</v>
      </c>
      <c r="H126" s="143"/>
      <c r="I126" s="57"/>
      <c r="J126" s="58"/>
      <c r="L126" s="285"/>
      <c r="N126" s="52"/>
    </row>
    <row r="127" spans="1:14" ht="17.25" customHeight="1" x14ac:dyDescent="0.25">
      <c r="A127" s="264" t="s">
        <v>751</v>
      </c>
      <c r="B127" s="61" t="s">
        <v>1044</v>
      </c>
      <c r="C127" s="249">
        <v>2023</v>
      </c>
      <c r="D127" s="249">
        <v>0.4</v>
      </c>
      <c r="E127" s="249">
        <v>56</v>
      </c>
      <c r="F127" s="250">
        <v>15</v>
      </c>
      <c r="G127" s="244">
        <v>15.56878</v>
      </c>
      <c r="H127" s="143"/>
      <c r="I127" s="57"/>
      <c r="J127" s="58"/>
      <c r="L127" s="285"/>
      <c r="N127" s="52"/>
    </row>
    <row r="128" spans="1:14" ht="17.25" customHeight="1" x14ac:dyDescent="0.25">
      <c r="A128" s="284" t="s">
        <v>751</v>
      </c>
      <c r="B128" s="61" t="s">
        <v>1045</v>
      </c>
      <c r="C128" s="120">
        <v>2023</v>
      </c>
      <c r="D128" s="120">
        <v>0.4</v>
      </c>
      <c r="E128" s="120">
        <v>154</v>
      </c>
      <c r="F128" s="97">
        <v>10</v>
      </c>
      <c r="G128" s="109">
        <v>79.529560000000004</v>
      </c>
      <c r="H128" s="143"/>
      <c r="I128" s="57"/>
      <c r="J128" s="58"/>
      <c r="L128" s="285"/>
      <c r="N128" s="52"/>
    </row>
    <row r="129" spans="1:14" ht="17.25" customHeight="1" x14ac:dyDescent="0.25">
      <c r="A129" s="224" t="s">
        <v>751</v>
      </c>
      <c r="B129" s="303" t="s">
        <v>1046</v>
      </c>
      <c r="C129" s="120">
        <v>2023</v>
      </c>
      <c r="D129" s="120">
        <v>0.4</v>
      </c>
      <c r="E129" s="120">
        <v>60</v>
      </c>
      <c r="F129" s="97">
        <v>15</v>
      </c>
      <c r="G129" s="109">
        <v>29.167300000000001</v>
      </c>
      <c r="H129" s="138"/>
      <c r="I129" s="70"/>
      <c r="J129" s="314"/>
      <c r="L129" s="285"/>
      <c r="N129" s="52"/>
    </row>
    <row r="130" spans="1:14" ht="17.25" customHeight="1" x14ac:dyDescent="0.25">
      <c r="A130" s="224" t="s">
        <v>1422</v>
      </c>
      <c r="B130" s="303" t="s">
        <v>1346</v>
      </c>
      <c r="C130" s="357">
        <v>2024</v>
      </c>
      <c r="D130" s="120">
        <v>0.4</v>
      </c>
      <c r="E130" s="120">
        <v>50</v>
      </c>
      <c r="F130" s="97">
        <v>15</v>
      </c>
      <c r="G130" s="109">
        <v>48.322069999999997</v>
      </c>
      <c r="H130" s="138"/>
      <c r="I130" s="315"/>
      <c r="J130" s="314"/>
      <c r="L130" s="285"/>
      <c r="N130" s="52"/>
    </row>
    <row r="131" spans="1:14" ht="17.25" customHeight="1" x14ac:dyDescent="0.25">
      <c r="A131" s="224" t="s">
        <v>1422</v>
      </c>
      <c r="B131" s="303" t="s">
        <v>1347</v>
      </c>
      <c r="C131" s="357">
        <v>2024</v>
      </c>
      <c r="D131" s="120">
        <v>0.4</v>
      </c>
      <c r="E131" s="120">
        <v>173</v>
      </c>
      <c r="F131" s="97">
        <v>30</v>
      </c>
      <c r="G131" s="109">
        <v>48.239089999999997</v>
      </c>
      <c r="H131" s="138"/>
      <c r="I131" s="315"/>
      <c r="J131" s="314"/>
      <c r="L131" s="285"/>
      <c r="N131" s="52"/>
    </row>
    <row r="132" spans="1:14" ht="17.25" customHeight="1" x14ac:dyDescent="0.25">
      <c r="A132" s="224" t="s">
        <v>1423</v>
      </c>
      <c r="B132" s="303" t="s">
        <v>1348</v>
      </c>
      <c r="C132" s="357">
        <v>2024</v>
      </c>
      <c r="D132" s="120">
        <v>0.4</v>
      </c>
      <c r="E132" s="120">
        <v>300</v>
      </c>
      <c r="F132" s="97">
        <v>80</v>
      </c>
      <c r="G132" s="109">
        <v>359.07659000000001</v>
      </c>
      <c r="H132" s="138"/>
      <c r="I132" s="315"/>
      <c r="J132" s="314"/>
      <c r="L132" s="285"/>
      <c r="N132" s="52"/>
    </row>
    <row r="133" spans="1:14" ht="17.25" customHeight="1" x14ac:dyDescent="0.25">
      <c r="A133" s="224" t="s">
        <v>1423</v>
      </c>
      <c r="B133" s="303" t="s">
        <v>1349</v>
      </c>
      <c r="C133" s="357">
        <v>2024</v>
      </c>
      <c r="D133" s="120">
        <v>0.4</v>
      </c>
      <c r="E133" s="120">
        <v>288</v>
      </c>
      <c r="F133" s="97">
        <v>50</v>
      </c>
      <c r="G133" s="109">
        <v>196.52722</v>
      </c>
      <c r="H133" s="138"/>
      <c r="I133" s="315"/>
      <c r="J133" s="314"/>
      <c r="L133" s="285"/>
      <c r="N133" s="52"/>
    </row>
    <row r="134" spans="1:14" ht="17.25" customHeight="1" x14ac:dyDescent="0.25">
      <c r="A134" s="224" t="s">
        <v>1422</v>
      </c>
      <c r="B134" s="303" t="s">
        <v>1350</v>
      </c>
      <c r="C134" s="357">
        <v>2024</v>
      </c>
      <c r="D134" s="120">
        <v>0.4</v>
      </c>
      <c r="E134" s="120">
        <v>32</v>
      </c>
      <c r="F134" s="97">
        <v>15</v>
      </c>
      <c r="G134" s="109">
        <v>11.06584</v>
      </c>
      <c r="H134" s="138"/>
      <c r="I134" s="315"/>
      <c r="J134" s="314"/>
      <c r="L134" s="285"/>
      <c r="N134" s="52"/>
    </row>
    <row r="135" spans="1:14" ht="17.25" customHeight="1" x14ac:dyDescent="0.25">
      <c r="A135" s="224" t="s">
        <v>1422</v>
      </c>
      <c r="B135" s="303" t="s">
        <v>1351</v>
      </c>
      <c r="C135" s="357">
        <v>2024</v>
      </c>
      <c r="D135" s="120">
        <v>0.4</v>
      </c>
      <c r="E135" s="120">
        <v>17</v>
      </c>
      <c r="F135" s="97">
        <v>7</v>
      </c>
      <c r="G135" s="109">
        <v>14.822340000000001</v>
      </c>
      <c r="H135" s="138"/>
      <c r="I135" s="315"/>
      <c r="J135" s="314"/>
      <c r="L135" s="285"/>
      <c r="N135" s="52"/>
    </row>
    <row r="136" spans="1:14" ht="17.25" customHeight="1" x14ac:dyDescent="0.25">
      <c r="A136" s="224" t="s">
        <v>1422</v>
      </c>
      <c r="B136" s="303" t="s">
        <v>1352</v>
      </c>
      <c r="C136" s="357">
        <v>2024</v>
      </c>
      <c r="D136" s="120">
        <v>0.4</v>
      </c>
      <c r="E136" s="120">
        <v>263</v>
      </c>
      <c r="F136" s="97">
        <v>15</v>
      </c>
      <c r="G136" s="109">
        <v>206.40153000000001</v>
      </c>
      <c r="H136" s="138"/>
      <c r="I136" s="315"/>
      <c r="J136" s="314"/>
      <c r="L136" s="285"/>
      <c r="N136" s="52"/>
    </row>
    <row r="137" spans="1:14" ht="17.25" customHeight="1" x14ac:dyDescent="0.25">
      <c r="A137" s="224" t="s">
        <v>1422</v>
      </c>
      <c r="B137" s="303" t="s">
        <v>1410</v>
      </c>
      <c r="C137" s="357">
        <v>2024</v>
      </c>
      <c r="D137" s="120">
        <v>0.4</v>
      </c>
      <c r="E137" s="120">
        <v>635</v>
      </c>
      <c r="F137" s="97">
        <v>10</v>
      </c>
      <c r="G137" s="109">
        <v>148.40424999999999</v>
      </c>
      <c r="H137" s="138"/>
      <c r="I137" s="316"/>
      <c r="J137" s="314"/>
      <c r="L137" s="285"/>
      <c r="N137" s="52"/>
    </row>
    <row r="138" spans="1:14" ht="17.25" customHeight="1" x14ac:dyDescent="0.25">
      <c r="A138" s="224" t="s">
        <v>1422</v>
      </c>
      <c r="B138" s="303" t="s">
        <v>1353</v>
      </c>
      <c r="C138" s="357">
        <v>2024</v>
      </c>
      <c r="D138" s="120">
        <v>0.4</v>
      </c>
      <c r="E138" s="120">
        <f>258+26</f>
        <v>284</v>
      </c>
      <c r="F138" s="97">
        <v>15</v>
      </c>
      <c r="G138" s="109">
        <v>92.395780000000002</v>
      </c>
      <c r="H138" s="138"/>
      <c r="I138" s="315"/>
      <c r="J138" s="314"/>
      <c r="L138" s="285"/>
      <c r="N138" s="52"/>
    </row>
    <row r="139" spans="1:14" ht="17.25" customHeight="1" x14ac:dyDescent="0.25">
      <c r="A139" s="224" t="s">
        <v>1422</v>
      </c>
      <c r="B139" s="303" t="s">
        <v>1354</v>
      </c>
      <c r="C139" s="357">
        <v>2024</v>
      </c>
      <c r="D139" s="120">
        <v>0.4</v>
      </c>
      <c r="E139" s="120">
        <v>105</v>
      </c>
      <c r="F139" s="97">
        <v>14</v>
      </c>
      <c r="G139" s="109">
        <v>30.60051</v>
      </c>
      <c r="H139" s="138"/>
      <c r="I139" s="315"/>
      <c r="J139" s="314"/>
      <c r="L139" s="285"/>
      <c r="N139" s="52"/>
    </row>
    <row r="140" spans="1:14" ht="17.25" customHeight="1" x14ac:dyDescent="0.25">
      <c r="A140" s="224" t="s">
        <v>1422</v>
      </c>
      <c r="B140" s="303" t="s">
        <v>1355</v>
      </c>
      <c r="C140" s="357">
        <v>2024</v>
      </c>
      <c r="D140" s="120">
        <v>0.4</v>
      </c>
      <c r="E140" s="120">
        <f>38+22</f>
        <v>60</v>
      </c>
      <c r="F140" s="97">
        <v>15</v>
      </c>
      <c r="G140" s="109">
        <v>26.451419999999999</v>
      </c>
      <c r="H140" s="138"/>
      <c r="I140" s="315"/>
      <c r="J140" s="314"/>
      <c r="L140" s="285"/>
      <c r="N140" s="52"/>
    </row>
    <row r="141" spans="1:14" ht="17.25" customHeight="1" x14ac:dyDescent="0.25">
      <c r="A141" s="224" t="s">
        <v>1423</v>
      </c>
      <c r="B141" s="303" t="s">
        <v>1356</v>
      </c>
      <c r="C141" s="357">
        <v>2024</v>
      </c>
      <c r="D141" s="120">
        <v>0.4</v>
      </c>
      <c r="E141" s="120">
        <v>89</v>
      </c>
      <c r="F141" s="97">
        <v>90</v>
      </c>
      <c r="G141" s="109">
        <v>172.01560999999998</v>
      </c>
      <c r="H141" s="138"/>
      <c r="I141" s="315"/>
      <c r="J141" s="314"/>
      <c r="L141" s="285"/>
      <c r="N141" s="52"/>
    </row>
    <row r="142" spans="1:14" ht="17.25" customHeight="1" x14ac:dyDescent="0.25">
      <c r="A142" s="224" t="s">
        <v>1422</v>
      </c>
      <c r="B142" s="303" t="s">
        <v>1357</v>
      </c>
      <c r="C142" s="357">
        <v>2024</v>
      </c>
      <c r="D142" s="120">
        <v>0.4</v>
      </c>
      <c r="E142" s="120">
        <v>55</v>
      </c>
      <c r="F142" s="97">
        <v>15</v>
      </c>
      <c r="G142" s="109">
        <v>31.72401</v>
      </c>
      <c r="H142" s="138"/>
      <c r="I142" s="315"/>
      <c r="J142" s="314"/>
      <c r="L142" s="285"/>
      <c r="N142" s="52"/>
    </row>
    <row r="143" spans="1:14" ht="17.25" customHeight="1" x14ac:dyDescent="0.25">
      <c r="A143" s="224" t="s">
        <v>1422</v>
      </c>
      <c r="B143" s="303" t="s">
        <v>1358</v>
      </c>
      <c r="C143" s="357">
        <v>2024</v>
      </c>
      <c r="D143" s="120">
        <v>0.4</v>
      </c>
      <c r="E143" s="120">
        <f>45+55+21</f>
        <v>121</v>
      </c>
      <c r="F143" s="97">
        <f>5+5+5+5+5</f>
        <v>25</v>
      </c>
      <c r="G143" s="109">
        <v>133.04601</v>
      </c>
      <c r="H143" s="138"/>
      <c r="I143" s="315"/>
      <c r="J143" s="314"/>
      <c r="L143" s="285"/>
      <c r="N143" s="52"/>
    </row>
    <row r="144" spans="1:14" ht="17.25" customHeight="1" x14ac:dyDescent="0.25">
      <c r="A144" s="224" t="s">
        <v>1422</v>
      </c>
      <c r="B144" s="303" t="s">
        <v>1359</v>
      </c>
      <c r="C144" s="357">
        <v>2024</v>
      </c>
      <c r="D144" s="120">
        <v>0.4</v>
      </c>
      <c r="E144" s="120">
        <v>21</v>
      </c>
      <c r="F144" s="97">
        <v>10</v>
      </c>
      <c r="G144" s="109">
        <v>21.474910000000001</v>
      </c>
      <c r="H144" s="138"/>
      <c r="I144" s="315"/>
      <c r="J144" s="314"/>
      <c r="L144" s="285"/>
      <c r="N144" s="52"/>
    </row>
    <row r="145" spans="1:14" ht="17.25" customHeight="1" x14ac:dyDescent="0.25">
      <c r="A145" s="224" t="s">
        <v>1423</v>
      </c>
      <c r="B145" s="303" t="s">
        <v>1360</v>
      </c>
      <c r="C145" s="357">
        <v>2024</v>
      </c>
      <c r="D145" s="120">
        <v>0.4</v>
      </c>
      <c r="E145" s="120">
        <v>96</v>
      </c>
      <c r="F145" s="97">
        <f>15+5+5+5+5+5</f>
        <v>40</v>
      </c>
      <c r="G145" s="109">
        <v>51.61177</v>
      </c>
      <c r="H145" s="138"/>
      <c r="I145" s="315"/>
      <c r="J145" s="314"/>
      <c r="L145" s="285"/>
      <c r="N145" s="52"/>
    </row>
    <row r="146" spans="1:14" ht="17.25" customHeight="1" x14ac:dyDescent="0.25">
      <c r="A146" s="224" t="s">
        <v>1422</v>
      </c>
      <c r="B146" s="303" t="s">
        <v>1361</v>
      </c>
      <c r="C146" s="357">
        <v>2024</v>
      </c>
      <c r="D146" s="120">
        <v>0.4</v>
      </c>
      <c r="E146" s="120">
        <v>24</v>
      </c>
      <c r="F146" s="97">
        <v>15</v>
      </c>
      <c r="G146" s="109">
        <v>6.6310399999999996</v>
      </c>
      <c r="H146" s="138"/>
      <c r="I146" s="315"/>
      <c r="J146" s="314"/>
      <c r="L146" s="285"/>
      <c r="N146" s="52"/>
    </row>
    <row r="147" spans="1:14" ht="17.25" customHeight="1" x14ac:dyDescent="0.25">
      <c r="A147" s="224" t="s">
        <v>1422</v>
      </c>
      <c r="B147" s="303" t="s">
        <v>1362</v>
      </c>
      <c r="C147" s="357">
        <v>2024</v>
      </c>
      <c r="D147" s="120">
        <v>0.4</v>
      </c>
      <c r="E147" s="120">
        <v>96</v>
      </c>
      <c r="F147" s="97">
        <v>15</v>
      </c>
      <c r="G147" s="109">
        <v>83.954460000000012</v>
      </c>
      <c r="H147" s="138"/>
      <c r="I147" s="315"/>
      <c r="J147" s="314"/>
      <c r="L147" s="285"/>
      <c r="N147" s="52"/>
    </row>
    <row r="148" spans="1:14" ht="17.25" customHeight="1" x14ac:dyDescent="0.25">
      <c r="A148" s="224" t="s">
        <v>1423</v>
      </c>
      <c r="B148" s="303" t="s">
        <v>1405</v>
      </c>
      <c r="C148" s="357">
        <v>2024</v>
      </c>
      <c r="D148" s="120">
        <v>0.4</v>
      </c>
      <c r="E148" s="120">
        <v>203</v>
      </c>
      <c r="F148" s="97">
        <v>60</v>
      </c>
      <c r="G148" s="109">
        <v>164.86423000000002</v>
      </c>
      <c r="H148" s="138"/>
      <c r="I148" s="315"/>
      <c r="J148" s="314"/>
      <c r="L148" s="285"/>
      <c r="N148" s="52"/>
    </row>
    <row r="149" spans="1:14" ht="17.25" customHeight="1" x14ac:dyDescent="0.25">
      <c r="A149" s="224" t="s">
        <v>1422</v>
      </c>
      <c r="B149" s="303" t="s">
        <v>1363</v>
      </c>
      <c r="C149" s="357">
        <v>2024</v>
      </c>
      <c r="D149" s="120">
        <v>0.4</v>
      </c>
      <c r="E149" s="120">
        <v>32</v>
      </c>
      <c r="F149" s="97">
        <v>15</v>
      </c>
      <c r="G149" s="109">
        <v>19.511839999999999</v>
      </c>
      <c r="H149" s="138"/>
      <c r="I149" s="315"/>
      <c r="J149" s="314"/>
      <c r="L149" s="285"/>
      <c r="N149" s="52"/>
    </row>
    <row r="150" spans="1:14" ht="17.25" customHeight="1" x14ac:dyDescent="0.25">
      <c r="A150" s="224" t="s">
        <v>1422</v>
      </c>
      <c r="B150" s="303" t="s">
        <v>1364</v>
      </c>
      <c r="C150" s="357">
        <v>2024</v>
      </c>
      <c r="D150" s="120">
        <v>0.4</v>
      </c>
      <c r="E150" s="120">
        <v>376</v>
      </c>
      <c r="F150" s="97">
        <v>15</v>
      </c>
      <c r="G150" s="109">
        <v>262.03183999999999</v>
      </c>
      <c r="H150" s="138"/>
      <c r="I150" s="315"/>
      <c r="J150" s="314"/>
      <c r="L150" s="285"/>
      <c r="N150" s="52"/>
    </row>
    <row r="151" spans="1:14" ht="17.25" customHeight="1" x14ac:dyDescent="0.25">
      <c r="A151" s="224" t="s">
        <v>1422</v>
      </c>
      <c r="B151" s="303" t="s">
        <v>1365</v>
      </c>
      <c r="C151" s="357">
        <v>2024</v>
      </c>
      <c r="D151" s="120">
        <v>0.4</v>
      </c>
      <c r="E151" s="120">
        <v>140</v>
      </c>
      <c r="F151" s="97">
        <v>20</v>
      </c>
      <c r="G151" s="109">
        <v>55.342829999999999</v>
      </c>
      <c r="H151" s="138"/>
      <c r="I151" s="315"/>
      <c r="J151" s="314"/>
      <c r="L151" s="285"/>
      <c r="N151" s="52"/>
    </row>
    <row r="152" spans="1:14" ht="17.25" customHeight="1" x14ac:dyDescent="0.25">
      <c r="A152" s="224" t="s">
        <v>1423</v>
      </c>
      <c r="B152" s="303" t="s">
        <v>1366</v>
      </c>
      <c r="C152" s="357">
        <v>2024</v>
      </c>
      <c r="D152" s="120">
        <v>0.4</v>
      </c>
      <c r="E152" s="120">
        <v>155</v>
      </c>
      <c r="F152" s="97">
        <v>150</v>
      </c>
      <c r="G152" s="109">
        <v>249.67742000000001</v>
      </c>
      <c r="H152" s="138"/>
      <c r="I152" s="315"/>
      <c r="J152" s="314"/>
      <c r="L152" s="285"/>
      <c r="N152" s="52"/>
    </row>
    <row r="153" spans="1:14" ht="17.25" customHeight="1" x14ac:dyDescent="0.25">
      <c r="A153" s="224" t="s">
        <v>1423</v>
      </c>
      <c r="B153" s="303" t="s">
        <v>1407</v>
      </c>
      <c r="C153" s="357">
        <v>2024</v>
      </c>
      <c r="D153" s="120">
        <v>0.4</v>
      </c>
      <c r="E153" s="120">
        <f>133+172</f>
        <v>305</v>
      </c>
      <c r="F153" s="97">
        <f>15+15+15+15</f>
        <v>60</v>
      </c>
      <c r="G153" s="109">
        <v>542.93902000000003</v>
      </c>
      <c r="H153" s="138"/>
      <c r="I153" s="315"/>
      <c r="J153" s="314"/>
      <c r="L153" s="285"/>
      <c r="N153" s="52"/>
    </row>
    <row r="154" spans="1:14" ht="17.25" customHeight="1" x14ac:dyDescent="0.25">
      <c r="A154" s="224" t="s">
        <v>1423</v>
      </c>
      <c r="B154" s="303" t="s">
        <v>1411</v>
      </c>
      <c r="C154" s="357">
        <v>2024</v>
      </c>
      <c r="D154" s="120">
        <v>0.4</v>
      </c>
      <c r="E154" s="120">
        <v>155</v>
      </c>
      <c r="F154" s="97">
        <f>15+15+15</f>
        <v>45</v>
      </c>
      <c r="G154" s="109">
        <v>248.06110000000001</v>
      </c>
      <c r="H154" s="138"/>
      <c r="I154" s="315"/>
      <c r="J154" s="314"/>
      <c r="L154" s="285"/>
      <c r="N154" s="52"/>
    </row>
    <row r="155" spans="1:14" ht="17.25" customHeight="1" x14ac:dyDescent="0.25">
      <c r="A155" s="224" t="s">
        <v>1422</v>
      </c>
      <c r="B155" s="303" t="s">
        <v>1408</v>
      </c>
      <c r="C155" s="357">
        <v>2024</v>
      </c>
      <c r="D155" s="120">
        <v>0.4</v>
      </c>
      <c r="E155" s="120">
        <v>92</v>
      </c>
      <c r="F155" s="97">
        <f>5+5+15</f>
        <v>25</v>
      </c>
      <c r="G155" s="109">
        <v>372.13249000000002</v>
      </c>
      <c r="H155" s="138"/>
      <c r="I155" s="315"/>
      <c r="J155" s="314"/>
      <c r="L155" s="285"/>
      <c r="N155" s="52"/>
    </row>
    <row r="156" spans="1:14" ht="17.25" customHeight="1" x14ac:dyDescent="0.25">
      <c r="A156" s="224" t="s">
        <v>1422</v>
      </c>
      <c r="B156" s="303" t="s">
        <v>1367</v>
      </c>
      <c r="C156" s="357">
        <v>2024</v>
      </c>
      <c r="D156" s="120">
        <v>0.4</v>
      </c>
      <c r="E156" s="120">
        <v>116</v>
      </c>
      <c r="F156" s="97">
        <v>15</v>
      </c>
      <c r="G156" s="109">
        <v>90.011219999999994</v>
      </c>
      <c r="H156" s="138"/>
      <c r="I156" s="315"/>
      <c r="J156" s="314"/>
      <c r="L156" s="285"/>
      <c r="N156" s="52"/>
    </row>
    <row r="157" spans="1:14" ht="17.25" customHeight="1" x14ac:dyDescent="0.25">
      <c r="A157" s="224" t="s">
        <v>1422</v>
      </c>
      <c r="B157" s="303" t="s">
        <v>1368</v>
      </c>
      <c r="C157" s="357">
        <v>2024</v>
      </c>
      <c r="D157" s="120">
        <v>0.4</v>
      </c>
      <c r="E157" s="120">
        <v>95</v>
      </c>
      <c r="F157" s="97">
        <v>15</v>
      </c>
      <c r="G157" s="109">
        <v>97.500460000000004</v>
      </c>
      <c r="H157" s="138"/>
      <c r="I157" s="315"/>
      <c r="J157" s="314"/>
      <c r="L157" s="285"/>
      <c r="N157" s="52"/>
    </row>
    <row r="158" spans="1:14" ht="17.25" customHeight="1" x14ac:dyDescent="0.25">
      <c r="A158" s="224" t="s">
        <v>1422</v>
      </c>
      <c r="B158" s="303" t="s">
        <v>1369</v>
      </c>
      <c r="C158" s="357">
        <v>2024</v>
      </c>
      <c r="D158" s="120">
        <v>0.4</v>
      </c>
      <c r="E158" s="120">
        <v>35</v>
      </c>
      <c r="F158" s="97">
        <v>10</v>
      </c>
      <c r="G158" s="109">
        <v>21.88496</v>
      </c>
      <c r="H158" s="138"/>
      <c r="I158" s="315"/>
      <c r="J158" s="314"/>
      <c r="L158" s="285"/>
      <c r="N158" s="52"/>
    </row>
    <row r="159" spans="1:14" ht="17.25" customHeight="1" x14ac:dyDescent="0.25">
      <c r="A159" s="224" t="s">
        <v>1422</v>
      </c>
      <c r="B159" s="303" t="s">
        <v>1370</v>
      </c>
      <c r="C159" s="357">
        <v>2024</v>
      </c>
      <c r="D159" s="120">
        <v>0.4</v>
      </c>
      <c r="E159" s="120">
        <v>25</v>
      </c>
      <c r="F159" s="97">
        <v>5</v>
      </c>
      <c r="G159" s="109">
        <v>15.717700000000001</v>
      </c>
      <c r="H159" s="138"/>
      <c r="I159" s="315"/>
      <c r="J159" s="314"/>
      <c r="L159" s="285"/>
      <c r="N159" s="52"/>
    </row>
    <row r="160" spans="1:14" ht="17.25" customHeight="1" x14ac:dyDescent="0.25">
      <c r="A160" s="224" t="s">
        <v>1423</v>
      </c>
      <c r="B160" s="303" t="s">
        <v>1409</v>
      </c>
      <c r="C160" s="357">
        <v>2024</v>
      </c>
      <c r="D160" s="120">
        <v>0.4</v>
      </c>
      <c r="E160" s="120">
        <v>488</v>
      </c>
      <c r="F160" s="97">
        <f>15+15</f>
        <v>30</v>
      </c>
      <c r="G160" s="109">
        <v>1026.8766000000001</v>
      </c>
      <c r="H160" s="138"/>
      <c r="I160" s="315"/>
      <c r="J160" s="314"/>
      <c r="L160" s="285"/>
      <c r="N160" s="52"/>
    </row>
    <row r="161" spans="1:20" ht="17.25" customHeight="1" x14ac:dyDescent="0.25">
      <c r="A161" s="224" t="s">
        <v>1422</v>
      </c>
      <c r="B161" s="303" t="s">
        <v>1371</v>
      </c>
      <c r="C161" s="357">
        <v>2024</v>
      </c>
      <c r="D161" s="120">
        <v>0.4</v>
      </c>
      <c r="E161" s="120">
        <f>25+25+419</f>
        <v>469</v>
      </c>
      <c r="F161" s="97">
        <f>7.5+5</f>
        <v>12.5</v>
      </c>
      <c r="G161" s="109">
        <v>626.02728000000002</v>
      </c>
      <c r="H161" s="138"/>
      <c r="I161" s="315"/>
      <c r="J161" s="314"/>
      <c r="L161" s="285"/>
      <c r="N161" s="52"/>
    </row>
    <row r="162" spans="1:20" ht="17.25" customHeight="1" x14ac:dyDescent="0.25">
      <c r="A162" s="224" t="s">
        <v>1422</v>
      </c>
      <c r="B162" s="303" t="s">
        <v>1372</v>
      </c>
      <c r="C162" s="357">
        <v>2024</v>
      </c>
      <c r="D162" s="120">
        <v>0.4</v>
      </c>
      <c r="E162" s="120">
        <f>25+383.5+120</f>
        <v>528.5</v>
      </c>
      <c r="F162" s="97">
        <v>5</v>
      </c>
      <c r="G162" s="109">
        <v>649.27958000000001</v>
      </c>
      <c r="H162" s="138"/>
      <c r="I162" s="315"/>
      <c r="J162" s="314"/>
      <c r="L162" s="285"/>
      <c r="N162" s="52"/>
    </row>
    <row r="163" spans="1:20" ht="17.25" customHeight="1" x14ac:dyDescent="0.25">
      <c r="A163" s="224" t="s">
        <v>1422</v>
      </c>
      <c r="B163" s="303" t="s">
        <v>1373</v>
      </c>
      <c r="C163" s="357">
        <v>2024</v>
      </c>
      <c r="D163" s="120">
        <v>0.4</v>
      </c>
      <c r="E163" s="120">
        <v>334.4</v>
      </c>
      <c r="F163" s="97">
        <f>5+5+5+5+5</f>
        <v>25</v>
      </c>
      <c r="G163" s="109">
        <v>846.46712000000002</v>
      </c>
      <c r="H163" s="138"/>
      <c r="I163" s="315"/>
      <c r="J163" s="314"/>
      <c r="L163" s="285"/>
      <c r="N163" s="52"/>
    </row>
    <row r="164" spans="1:20" ht="17.25" customHeight="1" x14ac:dyDescent="0.25">
      <c r="A164" s="224" t="s">
        <v>1422</v>
      </c>
      <c r="B164" s="303" t="s">
        <v>1374</v>
      </c>
      <c r="C164" s="357">
        <v>2024</v>
      </c>
      <c r="D164" s="120">
        <v>0.4</v>
      </c>
      <c r="E164" s="120">
        <v>448</v>
      </c>
      <c r="F164" s="97">
        <v>15</v>
      </c>
      <c r="G164" s="109">
        <v>315.38727</v>
      </c>
      <c r="H164" s="138"/>
      <c r="I164" s="315"/>
      <c r="J164" s="314"/>
      <c r="L164" s="285"/>
      <c r="N164" s="52"/>
    </row>
    <row r="165" spans="1:20" ht="17.25" customHeight="1" x14ac:dyDescent="0.25">
      <c r="A165" s="224" t="s">
        <v>1423</v>
      </c>
      <c r="B165" s="303" t="s">
        <v>1419</v>
      </c>
      <c r="C165" s="357">
        <v>2024</v>
      </c>
      <c r="D165" s="120">
        <v>6</v>
      </c>
      <c r="E165" s="120">
        <v>9</v>
      </c>
      <c r="F165" s="97">
        <v>480</v>
      </c>
      <c r="G165" s="109">
        <v>1588.9277</v>
      </c>
      <c r="H165" s="138"/>
      <c r="I165" s="315"/>
      <c r="J165" s="314"/>
      <c r="L165" s="285"/>
      <c r="N165" s="52"/>
    </row>
    <row r="166" spans="1:20" ht="17.25" customHeight="1" x14ac:dyDescent="0.25">
      <c r="A166" s="224" t="s">
        <v>1422</v>
      </c>
      <c r="B166" s="303" t="s">
        <v>1420</v>
      </c>
      <c r="C166" s="357">
        <v>2024</v>
      </c>
      <c r="D166" s="120">
        <v>6</v>
      </c>
      <c r="E166" s="120">
        <v>22</v>
      </c>
      <c r="F166" s="97">
        <v>140</v>
      </c>
      <c r="G166" s="109">
        <v>153.03323999999998</v>
      </c>
      <c r="H166" s="138"/>
      <c r="I166" s="315"/>
      <c r="J166" s="314"/>
      <c r="L166" s="285"/>
      <c r="N166" s="52"/>
    </row>
    <row r="167" spans="1:20" ht="17.25" customHeight="1" x14ac:dyDescent="0.25">
      <c r="A167" s="224" t="s">
        <v>1423</v>
      </c>
      <c r="B167" s="303" t="s">
        <v>1375</v>
      </c>
      <c r="C167" s="357">
        <v>2024</v>
      </c>
      <c r="D167" s="120">
        <v>10</v>
      </c>
      <c r="E167" s="120">
        <v>2630</v>
      </c>
      <c r="F167" s="97">
        <f>15+15+15+15+15+7+5</f>
        <v>87</v>
      </c>
      <c r="G167" s="109">
        <v>2683.2399</v>
      </c>
      <c r="H167" s="138"/>
      <c r="I167" s="315"/>
      <c r="J167" s="314"/>
      <c r="L167" s="285"/>
      <c r="N167" s="52"/>
    </row>
    <row r="168" spans="1:20" ht="15.75" customHeight="1" x14ac:dyDescent="0.25">
      <c r="A168" s="190" t="s">
        <v>754</v>
      </c>
      <c r="B168" s="34" t="s">
        <v>560</v>
      </c>
      <c r="C168" s="33"/>
      <c r="D168" s="17"/>
      <c r="E168" s="17"/>
      <c r="F168" s="17"/>
      <c r="G168" s="191"/>
      <c r="H168" s="135"/>
      <c r="I168" s="52"/>
    </row>
    <row r="169" spans="1:20" ht="70.5" customHeight="1" x14ac:dyDescent="0.25">
      <c r="A169" s="192" t="s">
        <v>755</v>
      </c>
      <c r="B169" s="29" t="s">
        <v>558</v>
      </c>
      <c r="C169" s="33"/>
      <c r="D169" s="17"/>
      <c r="E169" s="17"/>
      <c r="F169" s="17"/>
      <c r="G169" s="191"/>
      <c r="H169" s="135"/>
      <c r="I169" s="52"/>
    </row>
    <row r="170" spans="1:20" ht="23.1" customHeight="1" x14ac:dyDescent="0.25">
      <c r="A170" s="192" t="s">
        <v>756</v>
      </c>
      <c r="B170" s="29" t="s">
        <v>556</v>
      </c>
      <c r="C170" s="33"/>
      <c r="D170" s="17"/>
      <c r="E170" s="17"/>
      <c r="F170" s="17"/>
      <c r="G170" s="191"/>
      <c r="H170" s="135"/>
      <c r="I170" s="52"/>
    </row>
    <row r="171" spans="1:20" ht="39.950000000000003" customHeight="1" x14ac:dyDescent="0.25">
      <c r="A171" s="192" t="s">
        <v>757</v>
      </c>
      <c r="B171" s="29" t="s">
        <v>554</v>
      </c>
      <c r="C171" s="33"/>
      <c r="D171" s="17"/>
      <c r="E171" s="17"/>
      <c r="F171" s="17"/>
      <c r="G171" s="191"/>
      <c r="H171" s="135"/>
      <c r="I171" s="52"/>
    </row>
    <row r="172" spans="1:20" ht="129.6" customHeight="1" x14ac:dyDescent="0.25">
      <c r="A172" s="192" t="s">
        <v>758</v>
      </c>
      <c r="B172" s="29" t="s">
        <v>552</v>
      </c>
      <c r="C172" s="13"/>
      <c r="D172" s="12"/>
      <c r="E172" s="12"/>
      <c r="F172" s="12"/>
      <c r="G172" s="193"/>
    </row>
    <row r="173" spans="1:20" s="30" customFormat="1" ht="53.1" customHeight="1" x14ac:dyDescent="0.25">
      <c r="A173" s="192" t="s">
        <v>759</v>
      </c>
      <c r="B173" s="29" t="s">
        <v>550</v>
      </c>
      <c r="C173" s="13"/>
      <c r="D173" s="12"/>
      <c r="E173" s="12"/>
      <c r="F173" s="12"/>
      <c r="G173" s="193"/>
      <c r="H173" s="2"/>
      <c r="J173" s="312"/>
      <c r="T173" s="1"/>
    </row>
    <row r="174" spans="1:20" ht="20.100000000000001" customHeight="1" x14ac:dyDescent="0.25">
      <c r="A174" s="198" t="s">
        <v>762</v>
      </c>
      <c r="B174" s="40" t="s">
        <v>395</v>
      </c>
      <c r="C174" s="45">
        <v>2022</v>
      </c>
      <c r="D174" s="39">
        <v>0.4</v>
      </c>
      <c r="E174" s="38">
        <v>198</v>
      </c>
      <c r="F174" s="11">
        <v>100</v>
      </c>
      <c r="G174" s="199">
        <v>39.807885000000006</v>
      </c>
      <c r="H174" s="313"/>
    </row>
    <row r="175" spans="1:20" ht="20.100000000000001" customHeight="1" x14ac:dyDescent="0.25">
      <c r="A175" s="200" t="s">
        <v>762</v>
      </c>
      <c r="B175" s="85" t="s">
        <v>395</v>
      </c>
      <c r="C175" s="45">
        <v>2022</v>
      </c>
      <c r="D175" s="39">
        <v>0.4</v>
      </c>
      <c r="E175" s="38"/>
      <c r="F175" s="11"/>
      <c r="G175" s="199">
        <v>39.807885000000006</v>
      </c>
      <c r="H175" s="313"/>
    </row>
    <row r="176" spans="1:20" ht="20.100000000000001" customHeight="1" x14ac:dyDescent="0.25">
      <c r="A176" s="200" t="s">
        <v>762</v>
      </c>
      <c r="B176" s="85" t="s">
        <v>391</v>
      </c>
      <c r="C176" s="45">
        <v>2022</v>
      </c>
      <c r="D176" s="45">
        <v>0.4</v>
      </c>
      <c r="E176" s="86">
        <v>177</v>
      </c>
      <c r="F176" s="50">
        <v>135</v>
      </c>
      <c r="G176" s="199">
        <v>40.693985925925929</v>
      </c>
      <c r="H176" s="313"/>
    </row>
    <row r="177" spans="1:11" s="54" customFormat="1" ht="20.100000000000001" customHeight="1" x14ac:dyDescent="0.25">
      <c r="A177" s="200" t="s">
        <v>789</v>
      </c>
      <c r="B177" s="85" t="s">
        <v>96</v>
      </c>
      <c r="C177" s="45">
        <v>2022</v>
      </c>
      <c r="D177" s="45">
        <v>10</v>
      </c>
      <c r="E177" s="86">
        <v>16</v>
      </c>
      <c r="F177" s="50">
        <v>232.5</v>
      </c>
      <c r="G177" s="42">
        <v>28.41</v>
      </c>
      <c r="H177" s="313"/>
      <c r="I177" s="1"/>
      <c r="J177" s="310"/>
      <c r="K177" s="1"/>
    </row>
    <row r="178" spans="1:11" s="54" customFormat="1" ht="20.100000000000001" customHeight="1" x14ac:dyDescent="0.25">
      <c r="A178" s="200" t="s">
        <v>789</v>
      </c>
      <c r="B178" s="85" t="s">
        <v>95</v>
      </c>
      <c r="C178" s="45">
        <v>2022</v>
      </c>
      <c r="D178" s="45">
        <v>10</v>
      </c>
      <c r="E178" s="86">
        <v>16</v>
      </c>
      <c r="F178" s="50"/>
      <c r="G178" s="42">
        <v>28.41</v>
      </c>
      <c r="H178" s="313"/>
      <c r="I178" s="1"/>
      <c r="J178" s="310"/>
      <c r="K178" s="1"/>
    </row>
    <row r="179" spans="1:11" s="54" customFormat="1" ht="20.100000000000001" customHeight="1" x14ac:dyDescent="0.25">
      <c r="A179" s="230" t="s">
        <v>789</v>
      </c>
      <c r="B179" s="85" t="s">
        <v>94</v>
      </c>
      <c r="C179" s="231">
        <v>2022</v>
      </c>
      <c r="D179" s="45">
        <v>10</v>
      </c>
      <c r="E179" s="86">
        <v>16</v>
      </c>
      <c r="F179" s="50"/>
      <c r="G179" s="42">
        <v>9.4700000000000006</v>
      </c>
      <c r="H179" s="313"/>
      <c r="I179" s="1"/>
      <c r="J179" s="310"/>
      <c r="K179" s="1"/>
    </row>
    <row r="180" spans="1:11" s="54" customFormat="1" ht="20.100000000000001" customHeight="1" x14ac:dyDescent="0.25">
      <c r="A180" s="200" t="s">
        <v>792</v>
      </c>
      <c r="B180" s="85" t="s">
        <v>96</v>
      </c>
      <c r="C180" s="45">
        <v>2022</v>
      </c>
      <c r="D180" s="45">
        <v>10</v>
      </c>
      <c r="E180" s="86">
        <v>160</v>
      </c>
      <c r="F180" s="50"/>
      <c r="G180" s="42">
        <v>51.56</v>
      </c>
      <c r="H180" s="313"/>
      <c r="I180" s="1"/>
      <c r="J180" s="310"/>
      <c r="K180" s="1"/>
    </row>
    <row r="181" spans="1:11" s="54" customFormat="1" ht="20.100000000000001" customHeight="1" x14ac:dyDescent="0.25">
      <c r="A181" s="200" t="s">
        <v>792</v>
      </c>
      <c r="B181" s="85" t="s">
        <v>95</v>
      </c>
      <c r="C181" s="45">
        <v>2022</v>
      </c>
      <c r="D181" s="45">
        <v>10</v>
      </c>
      <c r="E181" s="86">
        <v>160</v>
      </c>
      <c r="F181" s="50"/>
      <c r="G181" s="42">
        <v>51.56</v>
      </c>
      <c r="H181" s="313"/>
      <c r="I181" s="1"/>
      <c r="J181" s="310"/>
      <c r="K181" s="1"/>
    </row>
    <row r="182" spans="1:11" s="54" customFormat="1" ht="20.100000000000001" customHeight="1" x14ac:dyDescent="0.25">
      <c r="A182" s="230" t="s">
        <v>792</v>
      </c>
      <c r="B182" s="85" t="s">
        <v>94</v>
      </c>
      <c r="C182" s="231">
        <v>2022</v>
      </c>
      <c r="D182" s="45">
        <v>10</v>
      </c>
      <c r="E182" s="86">
        <v>160</v>
      </c>
      <c r="F182" s="50"/>
      <c r="G182" s="42">
        <v>17.190000000000001</v>
      </c>
      <c r="H182" s="313"/>
      <c r="I182" s="1"/>
      <c r="J182" s="310"/>
      <c r="K182" s="1"/>
    </row>
    <row r="183" spans="1:11" ht="20.100000000000001" customHeight="1" x14ac:dyDescent="0.25">
      <c r="A183" s="223" t="s">
        <v>762</v>
      </c>
      <c r="B183" s="222" t="s">
        <v>395</v>
      </c>
      <c r="C183" s="120">
        <v>2022</v>
      </c>
      <c r="D183" s="120">
        <v>0.4</v>
      </c>
      <c r="E183" s="120">
        <v>198</v>
      </c>
      <c r="F183" s="120">
        <f>50+20+15+15</f>
        <v>100</v>
      </c>
      <c r="G183" s="121">
        <v>132.69295000000002</v>
      </c>
      <c r="H183" s="1"/>
    </row>
    <row r="184" spans="1:11" ht="20.100000000000001" customHeight="1" x14ac:dyDescent="0.25">
      <c r="A184" s="221" t="s">
        <v>762</v>
      </c>
      <c r="B184" s="86" t="s">
        <v>394</v>
      </c>
      <c r="C184" s="120">
        <v>2022</v>
      </c>
      <c r="D184" s="120"/>
      <c r="E184" s="120"/>
      <c r="F184" s="120"/>
      <c r="G184" s="121">
        <v>53.077180000000006</v>
      </c>
      <c r="H184" s="302"/>
    </row>
    <row r="185" spans="1:11" ht="20.100000000000001" customHeight="1" x14ac:dyDescent="0.25">
      <c r="A185" s="219" t="s">
        <v>762</v>
      </c>
      <c r="B185" s="86" t="s">
        <v>390</v>
      </c>
      <c r="C185" s="120">
        <v>2022</v>
      </c>
      <c r="D185" s="120">
        <v>0.4</v>
      </c>
      <c r="E185" s="120">
        <v>177</v>
      </c>
      <c r="F185" s="86">
        <f>100+30+5</f>
        <v>135</v>
      </c>
      <c r="G185" s="121">
        <v>813.87971851851864</v>
      </c>
      <c r="H185" s="302"/>
    </row>
    <row r="186" spans="1:11" ht="20.100000000000001" customHeight="1" x14ac:dyDescent="0.25">
      <c r="A186" s="219" t="s">
        <v>762</v>
      </c>
      <c r="B186" s="86" t="s">
        <v>389</v>
      </c>
      <c r="C186" s="120">
        <v>2022</v>
      </c>
      <c r="D186" s="120"/>
      <c r="E186" s="120"/>
      <c r="F186" s="86"/>
      <c r="G186" s="121">
        <v>244.16391555555558</v>
      </c>
      <c r="H186" s="302"/>
    </row>
    <row r="187" spans="1:11" ht="20.100000000000001" customHeight="1" x14ac:dyDescent="0.25">
      <c r="A187" s="219" t="s">
        <v>790</v>
      </c>
      <c r="B187" s="86" t="s">
        <v>492</v>
      </c>
      <c r="C187" s="120">
        <v>2022</v>
      </c>
      <c r="D187" s="120">
        <v>0.4</v>
      </c>
      <c r="E187" s="120">
        <v>213</v>
      </c>
      <c r="F187" s="120">
        <f>40+30+40+30</f>
        <v>140</v>
      </c>
      <c r="G187" s="121">
        <v>764.80535428571443</v>
      </c>
      <c r="H187" s="302"/>
    </row>
    <row r="188" spans="1:11" ht="20.100000000000001" customHeight="1" x14ac:dyDescent="0.25">
      <c r="A188" s="219" t="s">
        <v>790</v>
      </c>
      <c r="B188" s="86" t="s">
        <v>491</v>
      </c>
      <c r="C188" s="120">
        <v>2022</v>
      </c>
      <c r="D188" s="120"/>
      <c r="E188" s="120"/>
      <c r="F188" s="120"/>
      <c r="G188" s="121">
        <v>573.60401571428577</v>
      </c>
      <c r="H188" s="302"/>
    </row>
    <row r="189" spans="1:11" ht="20.100000000000001" customHeight="1" x14ac:dyDescent="0.25">
      <c r="A189" s="219" t="s">
        <v>790</v>
      </c>
      <c r="B189" s="86" t="s">
        <v>490</v>
      </c>
      <c r="C189" s="120">
        <v>2022</v>
      </c>
      <c r="D189" s="120"/>
      <c r="E189" s="120"/>
      <c r="F189" s="120"/>
      <c r="G189" s="121">
        <v>764.80535428571443</v>
      </c>
      <c r="H189" s="302"/>
    </row>
    <row r="190" spans="1:11" ht="20.100000000000001" customHeight="1" x14ac:dyDescent="0.25">
      <c r="A190" s="219" t="s">
        <v>790</v>
      </c>
      <c r="B190" s="86" t="s">
        <v>489</v>
      </c>
      <c r="C190" s="120">
        <v>2022</v>
      </c>
      <c r="D190" s="120"/>
      <c r="E190" s="120"/>
      <c r="F190" s="120"/>
      <c r="G190" s="121">
        <v>573.60401571428577</v>
      </c>
      <c r="H190" s="302"/>
    </row>
    <row r="191" spans="1:11" ht="20.100000000000001" customHeight="1" x14ac:dyDescent="0.25">
      <c r="A191" s="220" t="s">
        <v>762</v>
      </c>
      <c r="B191" s="86" t="s">
        <v>488</v>
      </c>
      <c r="C191" s="120">
        <v>2022</v>
      </c>
      <c r="D191" s="120">
        <v>0.4</v>
      </c>
      <c r="E191" s="120">
        <v>168</v>
      </c>
      <c r="F191" s="86">
        <v>100</v>
      </c>
      <c r="G191" s="121">
        <v>1483.5737300000001</v>
      </c>
      <c r="H191" s="302"/>
    </row>
    <row r="192" spans="1:11" ht="20.100000000000001" customHeight="1" x14ac:dyDescent="0.25">
      <c r="A192" s="220" t="s">
        <v>762</v>
      </c>
      <c r="B192" s="111" t="s">
        <v>387</v>
      </c>
      <c r="C192" s="120">
        <v>2022</v>
      </c>
      <c r="D192" s="120">
        <v>0.4</v>
      </c>
      <c r="E192" s="120">
        <v>262</v>
      </c>
      <c r="F192" s="86">
        <v>60</v>
      </c>
      <c r="G192" s="121">
        <v>2093.6139699999999</v>
      </c>
      <c r="H192" s="302"/>
    </row>
    <row r="193" spans="1:8" ht="20.100000000000001" customHeight="1" x14ac:dyDescent="0.25">
      <c r="A193" s="219" t="s">
        <v>765</v>
      </c>
      <c r="B193" s="86" t="s">
        <v>349</v>
      </c>
      <c r="C193" s="120">
        <v>2022</v>
      </c>
      <c r="D193" s="120">
        <v>6</v>
      </c>
      <c r="E193" s="120">
        <v>405</v>
      </c>
      <c r="F193" s="86">
        <f>150+100</f>
        <v>250</v>
      </c>
      <c r="G193" s="121">
        <v>2425.4265720000003</v>
      </c>
      <c r="H193" s="302"/>
    </row>
    <row r="194" spans="1:8" ht="20.100000000000001" customHeight="1" x14ac:dyDescent="0.25">
      <c r="A194" s="219" t="s">
        <v>765</v>
      </c>
      <c r="B194" s="86" t="s">
        <v>348</v>
      </c>
      <c r="C194" s="120">
        <v>2022</v>
      </c>
      <c r="D194" s="120"/>
      <c r="E194" s="120"/>
      <c r="F194" s="86"/>
      <c r="G194" s="121">
        <v>1616.9510480000001</v>
      </c>
      <c r="H194" s="302"/>
    </row>
    <row r="195" spans="1:8" ht="20.100000000000001" customHeight="1" x14ac:dyDescent="0.25">
      <c r="A195" s="220" t="s">
        <v>760</v>
      </c>
      <c r="B195" s="86" t="s">
        <v>347</v>
      </c>
      <c r="C195" s="120">
        <v>2022</v>
      </c>
      <c r="D195" s="120">
        <v>0.4</v>
      </c>
      <c r="E195" s="120">
        <v>214</v>
      </c>
      <c r="F195" s="86">
        <v>50</v>
      </c>
      <c r="G195" s="126">
        <v>746.28890999999999</v>
      </c>
      <c r="H195" s="302"/>
    </row>
    <row r="196" spans="1:8" ht="20.100000000000001" customHeight="1" x14ac:dyDescent="0.25">
      <c r="A196" s="220" t="s">
        <v>765</v>
      </c>
      <c r="B196" s="86" t="s">
        <v>347</v>
      </c>
      <c r="C196" s="120">
        <v>2022</v>
      </c>
      <c r="D196" s="120">
        <v>6</v>
      </c>
      <c r="E196" s="120">
        <v>330</v>
      </c>
      <c r="F196" s="86">
        <f>250*0.94</f>
        <v>235</v>
      </c>
      <c r="G196" s="126">
        <v>293.20091702127661</v>
      </c>
      <c r="H196" s="302"/>
    </row>
    <row r="197" spans="1:8" ht="20.100000000000001" customHeight="1" x14ac:dyDescent="0.25">
      <c r="A197" s="220" t="s">
        <v>791</v>
      </c>
      <c r="B197" s="111" t="s">
        <v>342</v>
      </c>
      <c r="C197" s="120">
        <v>2022</v>
      </c>
      <c r="D197" s="120">
        <v>10</v>
      </c>
      <c r="E197" s="120">
        <v>176</v>
      </c>
      <c r="F197" s="86">
        <f>250*0.93</f>
        <v>232.5</v>
      </c>
      <c r="G197" s="127">
        <v>799.66978064516127</v>
      </c>
      <c r="H197" s="302"/>
    </row>
    <row r="198" spans="1:8" ht="20.100000000000001" customHeight="1" x14ac:dyDescent="0.25">
      <c r="A198" s="220" t="s">
        <v>765</v>
      </c>
      <c r="B198" s="97" t="s">
        <v>340</v>
      </c>
      <c r="C198" s="120">
        <v>2022</v>
      </c>
      <c r="D198" s="120">
        <v>10</v>
      </c>
      <c r="E198" s="120">
        <v>28</v>
      </c>
      <c r="F198" s="120">
        <f>250*0.93</f>
        <v>232.5</v>
      </c>
      <c r="G198" s="121">
        <v>38.515651612903227</v>
      </c>
      <c r="H198" s="302"/>
    </row>
    <row r="199" spans="1:8" ht="20.100000000000001" customHeight="1" x14ac:dyDescent="0.25">
      <c r="A199" s="220" t="s">
        <v>762</v>
      </c>
      <c r="B199" s="97" t="s">
        <v>338</v>
      </c>
      <c r="C199" s="120">
        <v>2022</v>
      </c>
      <c r="D199" s="120">
        <v>0.4</v>
      </c>
      <c r="E199" s="120">
        <v>32.5</v>
      </c>
      <c r="F199" s="128">
        <v>100</v>
      </c>
      <c r="G199" s="129">
        <v>113.16369999999999</v>
      </c>
      <c r="H199" s="302"/>
    </row>
    <row r="200" spans="1:8" ht="20.100000000000001" customHeight="1" x14ac:dyDescent="0.25">
      <c r="A200" s="220" t="s">
        <v>765</v>
      </c>
      <c r="B200" s="97" t="s">
        <v>338</v>
      </c>
      <c r="C200" s="120">
        <v>2022</v>
      </c>
      <c r="D200" s="120">
        <v>6</v>
      </c>
      <c r="E200" s="120">
        <v>81</v>
      </c>
      <c r="F200" s="128">
        <f>160*0.94</f>
        <v>150.39999999999998</v>
      </c>
      <c r="G200" s="129">
        <v>495.93073138297876</v>
      </c>
      <c r="H200" s="302"/>
    </row>
    <row r="201" spans="1:8" ht="20.100000000000001" customHeight="1" x14ac:dyDescent="0.25">
      <c r="A201" s="220" t="s">
        <v>765</v>
      </c>
      <c r="B201" s="97" t="s">
        <v>338</v>
      </c>
      <c r="C201" s="120">
        <v>2022</v>
      </c>
      <c r="D201" s="120">
        <v>6</v>
      </c>
      <c r="E201" s="120">
        <v>91.5</v>
      </c>
      <c r="F201" s="128">
        <f>160*0.94</f>
        <v>150.39999999999998</v>
      </c>
      <c r="G201" s="129">
        <v>518.8601728723404</v>
      </c>
      <c r="H201" s="302"/>
    </row>
    <row r="202" spans="1:8" ht="20.100000000000001" customHeight="1" x14ac:dyDescent="0.25">
      <c r="A202" s="220" t="s">
        <v>762</v>
      </c>
      <c r="B202" s="97" t="s">
        <v>336</v>
      </c>
      <c r="C202" s="120">
        <v>2022</v>
      </c>
      <c r="D202" s="120">
        <v>0.4</v>
      </c>
      <c r="E202" s="120">
        <v>33</v>
      </c>
      <c r="F202" s="128">
        <v>100</v>
      </c>
      <c r="G202" s="129">
        <v>187.76763</v>
      </c>
      <c r="H202" s="302"/>
    </row>
    <row r="203" spans="1:8" ht="20.100000000000001" customHeight="1" x14ac:dyDescent="0.25">
      <c r="A203" s="220" t="s">
        <v>792</v>
      </c>
      <c r="B203" s="97" t="s">
        <v>336</v>
      </c>
      <c r="C203" s="120">
        <v>2022</v>
      </c>
      <c r="D203" s="120">
        <v>6</v>
      </c>
      <c r="E203" s="120">
        <v>215.5</v>
      </c>
      <c r="F203" s="128">
        <f>160*0.94</f>
        <v>150.39999999999998</v>
      </c>
      <c r="G203" s="129">
        <v>629.3043284574469</v>
      </c>
      <c r="H203" s="302"/>
    </row>
    <row r="204" spans="1:8" ht="20.100000000000001" customHeight="1" x14ac:dyDescent="0.25">
      <c r="A204" s="220" t="s">
        <v>762</v>
      </c>
      <c r="B204" s="97" t="s">
        <v>335</v>
      </c>
      <c r="C204" s="120">
        <v>2022</v>
      </c>
      <c r="D204" s="120">
        <v>0.4</v>
      </c>
      <c r="E204" s="120">
        <v>224</v>
      </c>
      <c r="F204" s="128">
        <v>150</v>
      </c>
      <c r="G204" s="129">
        <v>2688.7522400000003</v>
      </c>
      <c r="H204" s="302"/>
    </row>
    <row r="205" spans="1:8" ht="20.100000000000001" customHeight="1" x14ac:dyDescent="0.25">
      <c r="A205" s="219" t="s">
        <v>791</v>
      </c>
      <c r="B205" s="97" t="s">
        <v>335</v>
      </c>
      <c r="C205" s="120">
        <v>2022</v>
      </c>
      <c r="D205" s="120">
        <v>6</v>
      </c>
      <c r="E205" s="120">
        <v>497</v>
      </c>
      <c r="F205" s="128">
        <f>400*0.94</f>
        <v>376</v>
      </c>
      <c r="G205" s="130">
        <v>667.15</v>
      </c>
      <c r="H205" s="302"/>
    </row>
    <row r="206" spans="1:8" ht="20.100000000000001" customHeight="1" x14ac:dyDescent="0.25">
      <c r="A206" s="219" t="s">
        <v>791</v>
      </c>
      <c r="B206" s="97" t="s">
        <v>332</v>
      </c>
      <c r="C206" s="120">
        <v>2022</v>
      </c>
      <c r="D206" s="120">
        <v>6</v>
      </c>
      <c r="E206" s="120">
        <v>497</v>
      </c>
      <c r="F206" s="128"/>
      <c r="G206" s="130">
        <v>667.15</v>
      </c>
      <c r="H206" s="302"/>
    </row>
    <row r="207" spans="1:8" ht="20.100000000000001" customHeight="1" x14ac:dyDescent="0.25">
      <c r="A207" s="219" t="s">
        <v>793</v>
      </c>
      <c r="B207" s="97" t="s">
        <v>335</v>
      </c>
      <c r="C207" s="120">
        <v>2022</v>
      </c>
      <c r="D207" s="120">
        <v>6</v>
      </c>
      <c r="E207" s="120">
        <v>174</v>
      </c>
      <c r="F207" s="128"/>
      <c r="G207" s="130">
        <v>1719.72</v>
      </c>
      <c r="H207" s="302"/>
    </row>
    <row r="208" spans="1:8" ht="20.100000000000001" customHeight="1" thickBot="1" x14ac:dyDescent="0.3">
      <c r="A208" s="219" t="s">
        <v>793</v>
      </c>
      <c r="B208" s="97" t="s">
        <v>332</v>
      </c>
      <c r="C208" s="120">
        <v>2022</v>
      </c>
      <c r="D208" s="120">
        <v>6</v>
      </c>
      <c r="E208" s="120">
        <v>174</v>
      </c>
      <c r="F208" s="128"/>
      <c r="G208" s="130">
        <v>1719.72</v>
      </c>
      <c r="H208" s="302"/>
    </row>
    <row r="209" spans="1:8" ht="28.5" customHeight="1" x14ac:dyDescent="0.25">
      <c r="A209" s="276" t="s">
        <v>760</v>
      </c>
      <c r="B209" s="266" t="s">
        <v>1011</v>
      </c>
      <c r="C209" s="267">
        <v>2023</v>
      </c>
      <c r="D209" s="286">
        <v>0.4</v>
      </c>
      <c r="E209" s="268">
        <v>93</v>
      </c>
      <c r="F209" s="269">
        <v>5</v>
      </c>
      <c r="G209" s="277">
        <v>222.57276000000002</v>
      </c>
      <c r="H209" s="302"/>
    </row>
    <row r="210" spans="1:8" ht="25.5" customHeight="1" x14ac:dyDescent="0.25">
      <c r="A210" s="271" t="s">
        <v>762</v>
      </c>
      <c r="B210" s="266" t="s">
        <v>1007</v>
      </c>
      <c r="C210" s="120">
        <v>2023</v>
      </c>
      <c r="D210" s="111">
        <v>0.4</v>
      </c>
      <c r="E210" s="120">
        <v>46</v>
      </c>
      <c r="F210" s="97">
        <v>140</v>
      </c>
      <c r="G210" s="109">
        <v>169.90984</v>
      </c>
      <c r="H210" s="302"/>
    </row>
    <row r="211" spans="1:8" ht="27" customHeight="1" x14ac:dyDescent="0.25">
      <c r="A211" s="271" t="s">
        <v>762</v>
      </c>
      <c r="B211" s="266" t="s">
        <v>1008</v>
      </c>
      <c r="C211" s="120">
        <v>2023</v>
      </c>
      <c r="D211" s="111">
        <v>0.4</v>
      </c>
      <c r="E211" s="120">
        <v>142</v>
      </c>
      <c r="F211" s="270">
        <v>150</v>
      </c>
      <c r="G211" s="109">
        <v>727.19520999999997</v>
      </c>
      <c r="H211" s="302"/>
    </row>
    <row r="212" spans="1:8" ht="33.75" customHeight="1" x14ac:dyDescent="0.25">
      <c r="A212" s="271" t="s">
        <v>762</v>
      </c>
      <c r="B212" s="266" t="s">
        <v>1009</v>
      </c>
      <c r="C212" s="120">
        <v>2023</v>
      </c>
      <c r="D212" s="111">
        <v>0.4</v>
      </c>
      <c r="E212" s="120">
        <v>210</v>
      </c>
      <c r="F212" s="86">
        <v>40</v>
      </c>
      <c r="G212" s="42">
        <v>727.43579999999997</v>
      </c>
      <c r="H212" s="302"/>
    </row>
    <row r="213" spans="1:8" ht="33.75" customHeight="1" x14ac:dyDescent="0.25">
      <c r="A213" s="271" t="s">
        <v>762</v>
      </c>
      <c r="B213" s="266" t="s">
        <v>1010</v>
      </c>
      <c r="C213" s="120">
        <v>2023</v>
      </c>
      <c r="D213" s="111">
        <v>0.4</v>
      </c>
      <c r="E213" s="120">
        <v>110</v>
      </c>
      <c r="F213" s="97">
        <v>15</v>
      </c>
      <c r="G213" s="109">
        <v>258.19529999999997</v>
      </c>
      <c r="H213" s="302"/>
    </row>
    <row r="214" spans="1:8" ht="33.75" customHeight="1" x14ac:dyDescent="0.25">
      <c r="A214" s="271" t="s">
        <v>762</v>
      </c>
      <c r="B214" s="266" t="s">
        <v>1012</v>
      </c>
      <c r="C214" s="120">
        <v>2023</v>
      </c>
      <c r="D214" s="111">
        <v>0.4</v>
      </c>
      <c r="E214" s="120">
        <v>86</v>
      </c>
      <c r="F214" s="97">
        <v>15</v>
      </c>
      <c r="G214" s="279">
        <v>465.65007000000008</v>
      </c>
      <c r="H214" s="302"/>
    </row>
    <row r="215" spans="1:8" ht="33.75" customHeight="1" x14ac:dyDescent="0.25">
      <c r="A215" s="271" t="s">
        <v>762</v>
      </c>
      <c r="B215" s="266" t="s">
        <v>1013</v>
      </c>
      <c r="C215" s="97">
        <v>2022</v>
      </c>
      <c r="D215" s="111">
        <v>0.4</v>
      </c>
      <c r="E215" s="120">
        <v>202</v>
      </c>
      <c r="F215" s="97">
        <v>15</v>
      </c>
      <c r="G215" s="109">
        <v>265.38590000000005</v>
      </c>
      <c r="H215" s="302"/>
    </row>
    <row r="216" spans="1:8" ht="33.75" customHeight="1" x14ac:dyDescent="0.25">
      <c r="A216" s="271" t="s">
        <v>762</v>
      </c>
      <c r="B216" s="266" t="s">
        <v>1014</v>
      </c>
      <c r="C216" s="97">
        <v>2022</v>
      </c>
      <c r="D216" s="111">
        <v>0.4</v>
      </c>
      <c r="E216" s="120">
        <v>143</v>
      </c>
      <c r="F216" s="97"/>
      <c r="G216" s="109">
        <v>562.22682000000009</v>
      </c>
      <c r="H216" s="302"/>
    </row>
    <row r="217" spans="1:8" ht="33.75" customHeight="1" x14ac:dyDescent="0.25">
      <c r="A217" s="271" t="s">
        <v>763</v>
      </c>
      <c r="B217" s="266" t="s">
        <v>1015</v>
      </c>
      <c r="C217" s="120">
        <v>2023</v>
      </c>
      <c r="D217" s="111">
        <v>0.4</v>
      </c>
      <c r="E217" s="120">
        <f>66+26</f>
        <v>92</v>
      </c>
      <c r="F217" s="97">
        <v>15</v>
      </c>
      <c r="G217" s="109">
        <v>82.456980000000001</v>
      </c>
      <c r="H217" s="302"/>
    </row>
    <row r="218" spans="1:8" ht="33.75" customHeight="1" x14ac:dyDescent="0.25">
      <c r="A218" s="271" t="s">
        <v>1018</v>
      </c>
      <c r="B218" s="266" t="s">
        <v>1016</v>
      </c>
      <c r="C218" s="120">
        <v>2023</v>
      </c>
      <c r="D218" s="111">
        <v>6</v>
      </c>
      <c r="E218" s="120">
        <v>152</v>
      </c>
      <c r="F218" s="97">
        <v>100</v>
      </c>
      <c r="G218" s="109">
        <v>433.71923400000003</v>
      </c>
      <c r="H218" s="302"/>
    </row>
    <row r="219" spans="1:8" ht="33.75" customHeight="1" x14ac:dyDescent="0.25">
      <c r="A219" s="271" t="s">
        <v>761</v>
      </c>
      <c r="B219" s="266" t="s">
        <v>1008</v>
      </c>
      <c r="C219" s="120">
        <v>2023</v>
      </c>
      <c r="D219" s="111">
        <v>0.4</v>
      </c>
      <c r="E219" s="122">
        <v>142</v>
      </c>
      <c r="F219" s="272"/>
      <c r="G219" s="109">
        <v>2346.0931800000003</v>
      </c>
      <c r="H219" s="302"/>
    </row>
    <row r="220" spans="1:8" ht="33.75" customHeight="1" thickBot="1" x14ac:dyDescent="0.3">
      <c r="A220" s="271" t="s">
        <v>761</v>
      </c>
      <c r="B220" s="266" t="s">
        <v>1012</v>
      </c>
      <c r="C220" s="273">
        <v>2022</v>
      </c>
      <c r="D220" s="111">
        <v>0.4</v>
      </c>
      <c r="E220" s="120">
        <v>58</v>
      </c>
      <c r="F220" s="97"/>
      <c r="G220" s="279">
        <v>1031.6610025</v>
      </c>
      <c r="H220" s="302"/>
    </row>
    <row r="221" spans="1:8" ht="33.75" customHeight="1" x14ac:dyDescent="0.25">
      <c r="A221" s="271" t="s">
        <v>761</v>
      </c>
      <c r="B221" s="266" t="s">
        <v>1014</v>
      </c>
      <c r="C221" s="97">
        <v>2022</v>
      </c>
      <c r="D221" s="111">
        <v>0.4</v>
      </c>
      <c r="E221" s="249">
        <v>38</v>
      </c>
      <c r="F221" s="250">
        <v>5</v>
      </c>
      <c r="G221" s="109">
        <v>536.51080000000002</v>
      </c>
      <c r="H221" s="302"/>
    </row>
    <row r="222" spans="1:8" ht="33.75" customHeight="1" x14ac:dyDescent="0.25">
      <c r="A222" s="304" t="s">
        <v>1020</v>
      </c>
      <c r="B222" s="305" t="s">
        <v>1016</v>
      </c>
      <c r="C222" s="249">
        <v>2023</v>
      </c>
      <c r="D222" s="306">
        <v>6</v>
      </c>
      <c r="E222" s="249">
        <v>46</v>
      </c>
      <c r="F222" s="250"/>
      <c r="G222" s="279">
        <v>807.32685600000002</v>
      </c>
      <c r="H222" s="302"/>
    </row>
    <row r="223" spans="1:8" ht="33.75" customHeight="1" x14ac:dyDescent="0.25">
      <c r="A223" s="358" t="s">
        <v>1424</v>
      </c>
      <c r="B223" s="359" t="s">
        <v>1412</v>
      </c>
      <c r="C223" s="357">
        <v>2024</v>
      </c>
      <c r="D223" s="360">
        <v>0.4</v>
      </c>
      <c r="E223" s="357">
        <f>246-E224</f>
        <v>151</v>
      </c>
      <c r="F223" s="250">
        <v>150</v>
      </c>
      <c r="G223" s="279">
        <f>(1662612.64-G224)/1000</f>
        <v>1661.5887131499999</v>
      </c>
      <c r="H223" s="302"/>
    </row>
    <row r="224" spans="1:8" ht="33.75" customHeight="1" x14ac:dyDescent="0.25">
      <c r="A224" s="358" t="s">
        <v>1019</v>
      </c>
      <c r="B224" s="359" t="s">
        <v>1425</v>
      </c>
      <c r="C224" s="357">
        <v>2024</v>
      </c>
      <c r="D224" s="360">
        <v>0.4</v>
      </c>
      <c r="E224" s="357">
        <v>95</v>
      </c>
      <c r="F224" s="250">
        <v>0</v>
      </c>
      <c r="G224" s="279">
        <f>1023926.85/1000</f>
        <v>1023.9268499999999</v>
      </c>
      <c r="H224" s="302"/>
    </row>
    <row r="225" spans="1:8" ht="33.75" customHeight="1" x14ac:dyDescent="0.25">
      <c r="A225" s="358" t="s">
        <v>1424</v>
      </c>
      <c r="B225" s="359" t="s">
        <v>1413</v>
      </c>
      <c r="C225" s="357">
        <v>2024</v>
      </c>
      <c r="D225" s="360">
        <v>0.4</v>
      </c>
      <c r="E225" s="357">
        <f>246-E226</f>
        <v>151</v>
      </c>
      <c r="F225" s="250">
        <v>150</v>
      </c>
      <c r="G225" s="279">
        <f>(1546835.82-G226)/1000</f>
        <v>1545.85973539</v>
      </c>
      <c r="H225" s="302"/>
    </row>
    <row r="226" spans="1:8" ht="33.75" customHeight="1" x14ac:dyDescent="0.25">
      <c r="A226" s="358" t="s">
        <v>1019</v>
      </c>
      <c r="B226" s="359" t="s">
        <v>1426</v>
      </c>
      <c r="C226" s="357">
        <v>2024</v>
      </c>
      <c r="D226" s="360">
        <v>0.4</v>
      </c>
      <c r="E226" s="357">
        <v>95</v>
      </c>
      <c r="F226" s="250">
        <v>0</v>
      </c>
      <c r="G226" s="279">
        <f>976084.61/1000</f>
        <v>976.08461</v>
      </c>
      <c r="H226" s="302"/>
    </row>
    <row r="227" spans="1:8" ht="33.75" customHeight="1" x14ac:dyDescent="0.25">
      <c r="A227" s="358" t="s">
        <v>762</v>
      </c>
      <c r="B227" s="359" t="s">
        <v>1376</v>
      </c>
      <c r="C227" s="357">
        <v>2024</v>
      </c>
      <c r="D227" s="360">
        <v>0.4</v>
      </c>
      <c r="E227" s="357">
        <f>212-E228</f>
        <v>144</v>
      </c>
      <c r="F227" s="250">
        <v>140</v>
      </c>
      <c r="G227" s="279">
        <f>(1165796.89-G228)/1000</f>
        <v>1165.2078131799999</v>
      </c>
      <c r="H227" s="302"/>
    </row>
    <row r="228" spans="1:8" ht="33.75" customHeight="1" x14ac:dyDescent="0.25">
      <c r="A228" s="358" t="s">
        <v>761</v>
      </c>
      <c r="B228" s="359" t="s">
        <v>1427</v>
      </c>
      <c r="C228" s="357">
        <v>2024</v>
      </c>
      <c r="D228" s="360">
        <v>0.4</v>
      </c>
      <c r="E228" s="357">
        <v>68</v>
      </c>
      <c r="F228" s="250">
        <v>0</v>
      </c>
      <c r="G228" s="279">
        <f>589076.82/1000</f>
        <v>589.07682</v>
      </c>
      <c r="H228" s="302"/>
    </row>
    <row r="229" spans="1:8" ht="33.75" customHeight="1" x14ac:dyDescent="0.25">
      <c r="A229" s="358" t="s">
        <v>762</v>
      </c>
      <c r="B229" s="359" t="s">
        <v>1377</v>
      </c>
      <c r="C229" s="357">
        <v>2024</v>
      </c>
      <c r="D229" s="360">
        <v>0.4</v>
      </c>
      <c r="E229" s="357">
        <v>316</v>
      </c>
      <c r="F229" s="250">
        <v>90</v>
      </c>
      <c r="G229" s="279">
        <f>1140822.97/1000</f>
        <v>1140.8229699999999</v>
      </c>
      <c r="H229" s="302"/>
    </row>
    <row r="230" spans="1:8" ht="33.75" customHeight="1" x14ac:dyDescent="0.25">
      <c r="A230" s="358" t="s">
        <v>760</v>
      </c>
      <c r="B230" s="359" t="s">
        <v>1406</v>
      </c>
      <c r="C230" s="357">
        <v>2024</v>
      </c>
      <c r="D230" s="360">
        <v>0.4</v>
      </c>
      <c r="E230" s="357">
        <f>45-E231</f>
        <v>24</v>
      </c>
      <c r="F230" s="250">
        <v>60</v>
      </c>
      <c r="G230" s="279">
        <f>(410458.31-G231)/1000</f>
        <v>410.17735281999995</v>
      </c>
      <c r="H230" s="302"/>
    </row>
    <row r="231" spans="1:8" ht="33.75" customHeight="1" x14ac:dyDescent="0.25">
      <c r="A231" s="358" t="s">
        <v>764</v>
      </c>
      <c r="B231" s="359" t="s">
        <v>1428</v>
      </c>
      <c r="C231" s="357">
        <v>2024</v>
      </c>
      <c r="D231" s="360">
        <v>0.4</v>
      </c>
      <c r="E231" s="357">
        <v>21</v>
      </c>
      <c r="F231" s="250">
        <v>0</v>
      </c>
      <c r="G231" s="279">
        <f>(268519.93+12437.25)/1000</f>
        <v>280.95717999999999</v>
      </c>
      <c r="H231" s="302"/>
    </row>
    <row r="232" spans="1:8" ht="33.75" customHeight="1" x14ac:dyDescent="0.25">
      <c r="A232" s="358" t="s">
        <v>762</v>
      </c>
      <c r="B232" s="359" t="s">
        <v>1403</v>
      </c>
      <c r="C232" s="357">
        <v>2024</v>
      </c>
      <c r="D232" s="360">
        <v>0.4</v>
      </c>
      <c r="E232" s="357">
        <v>147</v>
      </c>
      <c r="F232" s="250">
        <v>212</v>
      </c>
      <c r="G232" s="307">
        <f>395533.77/1000</f>
        <v>395.53377</v>
      </c>
      <c r="H232" s="302"/>
    </row>
    <row r="233" spans="1:8" ht="33.75" customHeight="1" x14ac:dyDescent="0.25">
      <c r="A233" s="358" t="s">
        <v>762</v>
      </c>
      <c r="B233" s="359" t="s">
        <v>1402</v>
      </c>
      <c r="C233" s="357">
        <v>2024</v>
      </c>
      <c r="D233" s="360">
        <v>0.4</v>
      </c>
      <c r="E233" s="357">
        <v>139</v>
      </c>
      <c r="F233" s="97">
        <v>212</v>
      </c>
      <c r="G233" s="307">
        <f>377684.63/1000</f>
        <v>377.68463000000003</v>
      </c>
      <c r="H233" s="302"/>
    </row>
    <row r="234" spans="1:8" ht="33.75" customHeight="1" x14ac:dyDescent="0.25">
      <c r="A234" s="358" t="s">
        <v>762</v>
      </c>
      <c r="B234" s="359" t="s">
        <v>1378</v>
      </c>
      <c r="C234" s="357">
        <v>2024</v>
      </c>
      <c r="D234" s="360">
        <v>0.4</v>
      </c>
      <c r="E234" s="357">
        <f>33-E235</f>
        <v>16</v>
      </c>
      <c r="F234" s="97">
        <v>150</v>
      </c>
      <c r="G234" s="279">
        <f>(484769.67-G235)/1000</f>
        <v>484.50934860999996</v>
      </c>
      <c r="H234" s="302"/>
    </row>
    <row r="235" spans="1:8" ht="33.75" customHeight="1" x14ac:dyDescent="0.25">
      <c r="A235" s="358" t="s">
        <v>761</v>
      </c>
      <c r="B235" s="359" t="s">
        <v>1429</v>
      </c>
      <c r="C235" s="357">
        <v>2024</v>
      </c>
      <c r="D235" s="360">
        <v>0.4</v>
      </c>
      <c r="E235" s="357">
        <v>17</v>
      </c>
      <c r="F235" s="97">
        <v>0</v>
      </c>
      <c r="G235" s="279">
        <f>(246896.23+13425.16)/1000</f>
        <v>260.32139000000001</v>
      </c>
      <c r="H235" s="302"/>
    </row>
    <row r="236" spans="1:8" ht="33.75" customHeight="1" x14ac:dyDescent="0.25">
      <c r="A236" s="358" t="s">
        <v>760</v>
      </c>
      <c r="B236" s="359" t="s">
        <v>1430</v>
      </c>
      <c r="C236" s="357">
        <v>2024</v>
      </c>
      <c r="D236" s="360">
        <v>0.4</v>
      </c>
      <c r="E236" s="361">
        <f>62-E237</f>
        <v>36</v>
      </c>
      <c r="F236" s="97">
        <v>100</v>
      </c>
      <c r="G236" s="279">
        <f>(546188.12-G237)/1000</f>
        <v>545.82325017000005</v>
      </c>
      <c r="H236" s="302"/>
    </row>
    <row r="237" spans="1:8" ht="33.75" customHeight="1" x14ac:dyDescent="0.25">
      <c r="A237" s="358" t="s">
        <v>764</v>
      </c>
      <c r="B237" s="359" t="s">
        <v>1431</v>
      </c>
      <c r="C237" s="357">
        <v>2024</v>
      </c>
      <c r="D237" s="360">
        <v>0.4</v>
      </c>
      <c r="E237" s="362">
        <v>26</v>
      </c>
      <c r="F237" s="97">
        <v>0</v>
      </c>
      <c r="G237" s="279">
        <f>364869.83/1000</f>
        <v>364.86983000000004</v>
      </c>
      <c r="H237" s="302"/>
    </row>
    <row r="238" spans="1:8" ht="33.75" customHeight="1" x14ac:dyDescent="0.25">
      <c r="A238" s="358" t="s">
        <v>760</v>
      </c>
      <c r="B238" s="359" t="s">
        <v>1432</v>
      </c>
      <c r="C238" s="357">
        <v>2024</v>
      </c>
      <c r="D238" s="360">
        <v>0.4</v>
      </c>
      <c r="E238" s="357">
        <f>42-E239</f>
        <v>24</v>
      </c>
      <c r="F238" s="97">
        <v>75</v>
      </c>
      <c r="G238" s="279">
        <f>(430408.41-G239)/1000</f>
        <v>430.10259861999992</v>
      </c>
      <c r="H238" s="302"/>
    </row>
    <row r="239" spans="1:8" ht="33.75" customHeight="1" x14ac:dyDescent="0.25">
      <c r="A239" s="358" t="s">
        <v>764</v>
      </c>
      <c r="B239" s="359" t="s">
        <v>1433</v>
      </c>
      <c r="C239" s="357">
        <v>2024</v>
      </c>
      <c r="D239" s="360">
        <v>0.4</v>
      </c>
      <c r="E239" s="357">
        <v>18</v>
      </c>
      <c r="F239" s="97">
        <v>0</v>
      </c>
      <c r="G239" s="279">
        <f>305811.38/1000</f>
        <v>305.81137999999999</v>
      </c>
      <c r="H239" s="302"/>
    </row>
    <row r="240" spans="1:8" ht="33.75" customHeight="1" x14ac:dyDescent="0.25">
      <c r="A240" s="358" t="s">
        <v>762</v>
      </c>
      <c r="B240" s="359" t="s">
        <v>1418</v>
      </c>
      <c r="C240" s="357">
        <v>2024</v>
      </c>
      <c r="D240" s="360">
        <v>0.4</v>
      </c>
      <c r="E240" s="357">
        <v>241</v>
      </c>
      <c r="F240" s="97">
        <v>300</v>
      </c>
      <c r="G240" s="279">
        <f>712443.98/1000</f>
        <v>712.44398000000001</v>
      </c>
      <c r="H240" s="302"/>
    </row>
    <row r="241" spans="1:13" ht="33.75" customHeight="1" x14ac:dyDescent="0.25">
      <c r="A241" s="358" t="s">
        <v>765</v>
      </c>
      <c r="B241" s="359" t="s">
        <v>1404</v>
      </c>
      <c r="C241" s="357">
        <v>2024</v>
      </c>
      <c r="D241" s="360">
        <v>6</v>
      </c>
      <c r="E241" s="357">
        <f>162-E242</f>
        <v>86</v>
      </c>
      <c r="F241" s="97">
        <v>150</v>
      </c>
      <c r="G241" s="279">
        <f>(1802010.66-G242)/1000</f>
        <v>1800.9404177500001</v>
      </c>
      <c r="H241" s="302"/>
    </row>
    <row r="242" spans="1:13" ht="33.75" customHeight="1" x14ac:dyDescent="0.25">
      <c r="A242" s="358" t="s">
        <v>1435</v>
      </c>
      <c r="B242" s="359" t="s">
        <v>1434</v>
      </c>
      <c r="C242" s="357">
        <v>2024</v>
      </c>
      <c r="D242" s="360">
        <v>6</v>
      </c>
      <c r="E242" s="357">
        <v>76</v>
      </c>
      <c r="F242" s="97">
        <v>0</v>
      </c>
      <c r="G242" s="279">
        <f>1070242.25/1000</f>
        <v>1070.24225</v>
      </c>
      <c r="H242" s="302"/>
    </row>
    <row r="243" spans="1:13" ht="33.75" customHeight="1" x14ac:dyDescent="0.25">
      <c r="A243" s="358" t="s">
        <v>762</v>
      </c>
      <c r="B243" s="359" t="s">
        <v>1421</v>
      </c>
      <c r="C243" s="357">
        <v>2024</v>
      </c>
      <c r="D243" s="360">
        <v>6</v>
      </c>
      <c r="E243" s="357">
        <f>649-E244</f>
        <v>382</v>
      </c>
      <c r="F243" s="97">
        <v>480</v>
      </c>
      <c r="G243" s="279">
        <f>(5522785.03-G244)/1000</f>
        <v>5519.7683467199995</v>
      </c>
      <c r="H243" s="302"/>
    </row>
    <row r="244" spans="1:13" ht="33.75" customHeight="1" x14ac:dyDescent="0.25">
      <c r="A244" s="358" t="s">
        <v>761</v>
      </c>
      <c r="B244" s="359" t="s">
        <v>1436</v>
      </c>
      <c r="C244" s="357">
        <v>2024</v>
      </c>
      <c r="D244" s="360">
        <v>6</v>
      </c>
      <c r="E244" s="357">
        <v>267</v>
      </c>
      <c r="F244" s="97">
        <v>0</v>
      </c>
      <c r="G244" s="279">
        <f>3016683.28/1000</f>
        <v>3016.6832799999997</v>
      </c>
      <c r="H244" s="302"/>
    </row>
    <row r="245" spans="1:13" ht="33.75" customHeight="1" x14ac:dyDescent="0.25">
      <c r="A245" s="358" t="s">
        <v>765</v>
      </c>
      <c r="B245" s="359" t="s">
        <v>1416</v>
      </c>
      <c r="C245" s="357">
        <v>2024</v>
      </c>
      <c r="D245" s="360">
        <v>10</v>
      </c>
      <c r="E245" s="357">
        <f>107-E246</f>
        <v>67</v>
      </c>
      <c r="F245" s="97">
        <v>212</v>
      </c>
      <c r="G245" s="279">
        <f>(804137.32-G246)/1000</f>
        <v>803.94113286999993</v>
      </c>
      <c r="H245" s="302"/>
    </row>
    <row r="246" spans="1:13" ht="33.75" customHeight="1" x14ac:dyDescent="0.25">
      <c r="A246" s="358" t="s">
        <v>1435</v>
      </c>
      <c r="B246" s="359" t="s">
        <v>1437</v>
      </c>
      <c r="C246" s="357">
        <v>2024</v>
      </c>
      <c r="D246" s="360">
        <v>10</v>
      </c>
      <c r="E246" s="357">
        <v>40</v>
      </c>
      <c r="F246" s="97">
        <v>0</v>
      </c>
      <c r="G246" s="279">
        <f>196187.13/1000</f>
        <v>196.18713</v>
      </c>
      <c r="H246" s="302"/>
    </row>
    <row r="247" spans="1:13" ht="33.75" customHeight="1" x14ac:dyDescent="0.25">
      <c r="A247" s="358" t="s">
        <v>765</v>
      </c>
      <c r="B247" s="359" t="s">
        <v>1415</v>
      </c>
      <c r="C247" s="357">
        <v>2024</v>
      </c>
      <c r="D247" s="360">
        <v>10</v>
      </c>
      <c r="E247" s="357">
        <f>101-E248</f>
        <v>61</v>
      </c>
      <c r="F247" s="97">
        <v>212</v>
      </c>
      <c r="G247" s="279">
        <f>(788823.12-G248)/1000</f>
        <v>788.33293287000004</v>
      </c>
      <c r="H247" s="302"/>
    </row>
    <row r="248" spans="1:13" ht="33.75" customHeight="1" x14ac:dyDescent="0.25">
      <c r="A248" s="358" t="s">
        <v>1435</v>
      </c>
      <c r="B248" s="359" t="s">
        <v>1438</v>
      </c>
      <c r="C248" s="357">
        <v>2024</v>
      </c>
      <c r="D248" s="360">
        <v>10</v>
      </c>
      <c r="E248" s="357">
        <v>40</v>
      </c>
      <c r="F248" s="97">
        <v>0</v>
      </c>
      <c r="G248" s="279">
        <f>490187.13/1000</f>
        <v>490.18713000000002</v>
      </c>
      <c r="H248" s="302"/>
    </row>
    <row r="249" spans="1:13" ht="33.75" customHeight="1" x14ac:dyDescent="0.25">
      <c r="A249" s="358" t="s">
        <v>765</v>
      </c>
      <c r="B249" s="359" t="s">
        <v>1379</v>
      </c>
      <c r="C249" s="357">
        <v>2024</v>
      </c>
      <c r="D249" s="360">
        <v>10</v>
      </c>
      <c r="E249" s="357">
        <v>86</v>
      </c>
      <c r="F249" s="97">
        <f>15+15+15+15+15+7+5</f>
        <v>87</v>
      </c>
      <c r="G249" s="279">
        <f>423400.53/1000</f>
        <v>423.40053</v>
      </c>
      <c r="H249" s="302"/>
    </row>
    <row r="250" spans="1:13" ht="33.75" customHeight="1" x14ac:dyDescent="0.25">
      <c r="A250" s="358" t="s">
        <v>765</v>
      </c>
      <c r="B250" s="359" t="s">
        <v>1380</v>
      </c>
      <c r="C250" s="357">
        <v>2024</v>
      </c>
      <c r="D250" s="360">
        <v>10</v>
      </c>
      <c r="E250" s="357">
        <f>282-E251</f>
        <v>216</v>
      </c>
      <c r="F250" s="97">
        <v>2000</v>
      </c>
      <c r="G250" s="279">
        <f>(3571212.9-G251)/1000</f>
        <v>3570.36302905</v>
      </c>
      <c r="H250" s="302"/>
    </row>
    <row r="251" spans="1:13" ht="33.75" customHeight="1" x14ac:dyDescent="0.25">
      <c r="A251" s="358" t="s">
        <v>1435</v>
      </c>
      <c r="B251" s="359" t="s">
        <v>1439</v>
      </c>
      <c r="C251" s="357">
        <v>2024</v>
      </c>
      <c r="D251" s="360">
        <v>10</v>
      </c>
      <c r="E251" s="357">
        <v>66</v>
      </c>
      <c r="F251" s="97">
        <v>0</v>
      </c>
      <c r="G251" s="279">
        <f>849870.95/1000</f>
        <v>849.87094999999999</v>
      </c>
      <c r="H251" s="302"/>
    </row>
    <row r="252" spans="1:13" ht="48.95" customHeight="1" x14ac:dyDescent="0.25">
      <c r="A252" s="190">
        <v>3</v>
      </c>
      <c r="B252" s="34" t="s">
        <v>480</v>
      </c>
      <c r="C252" s="12"/>
      <c r="D252" s="12"/>
      <c r="E252" s="12"/>
      <c r="F252" s="12"/>
      <c r="G252" s="193"/>
      <c r="L252" s="3"/>
      <c r="M252" s="2"/>
    </row>
    <row r="253" spans="1:13" s="30" customFormat="1" ht="123" customHeight="1" x14ac:dyDescent="0.25">
      <c r="A253" s="192" t="s">
        <v>673</v>
      </c>
      <c r="B253" s="29" t="s">
        <v>478</v>
      </c>
      <c r="C253" s="13"/>
      <c r="D253" s="12"/>
      <c r="E253" s="12"/>
      <c r="F253" s="12"/>
      <c r="G253" s="193"/>
      <c r="H253" s="2"/>
      <c r="J253" s="312"/>
    </row>
    <row r="254" spans="1:13" s="30" customFormat="1" ht="63" customHeight="1" x14ac:dyDescent="0.25">
      <c r="A254" s="192" t="s">
        <v>671</v>
      </c>
      <c r="B254" s="29" t="s">
        <v>476</v>
      </c>
      <c r="C254" s="13"/>
      <c r="D254" s="12"/>
      <c r="E254" s="12"/>
      <c r="F254" s="12"/>
      <c r="G254" s="193"/>
      <c r="H254" s="2"/>
      <c r="J254" s="312"/>
      <c r="L254" s="297"/>
      <c r="M254" s="297"/>
    </row>
    <row r="255" spans="1:13" ht="71.45" customHeight="1" x14ac:dyDescent="0.25">
      <c r="A255" s="192" t="s">
        <v>669</v>
      </c>
      <c r="B255" s="29" t="s">
        <v>474</v>
      </c>
      <c r="C255" s="13"/>
      <c r="D255" s="12"/>
      <c r="E255" s="12"/>
      <c r="F255" s="12"/>
      <c r="G255" s="193"/>
      <c r="L255" s="298"/>
      <c r="M255" s="298"/>
    </row>
    <row r="256" spans="1:13" ht="21" customHeight="1" x14ac:dyDescent="0.25">
      <c r="A256" s="224" t="s">
        <v>1005</v>
      </c>
      <c r="B256" s="225" t="s">
        <v>122</v>
      </c>
      <c r="C256" s="154">
        <v>2022</v>
      </c>
      <c r="D256" s="120">
        <v>0.4</v>
      </c>
      <c r="E256" s="120">
        <v>1</v>
      </c>
      <c r="F256" s="97">
        <v>15</v>
      </c>
      <c r="G256" s="203">
        <v>7.7487899999999996</v>
      </c>
      <c r="H256" s="146"/>
      <c r="I256" s="31"/>
    </row>
    <row r="257" spans="1:9" ht="21" customHeight="1" x14ac:dyDescent="0.25">
      <c r="A257" s="224" t="s">
        <v>1005</v>
      </c>
      <c r="B257" s="225" t="s">
        <v>399</v>
      </c>
      <c r="C257" s="154">
        <v>2022</v>
      </c>
      <c r="D257" s="120">
        <v>0.4</v>
      </c>
      <c r="E257" s="120">
        <v>1</v>
      </c>
      <c r="F257" s="97">
        <v>10</v>
      </c>
      <c r="G257" s="203">
        <v>8.5959799999999991</v>
      </c>
      <c r="H257" s="146"/>
      <c r="I257" s="31"/>
    </row>
    <row r="258" spans="1:9" ht="21" customHeight="1" x14ac:dyDescent="0.25">
      <c r="A258" s="224" t="s">
        <v>1005</v>
      </c>
      <c r="B258" s="225" t="s">
        <v>396</v>
      </c>
      <c r="C258" s="154">
        <v>2022</v>
      </c>
      <c r="D258" s="120">
        <v>0.4</v>
      </c>
      <c r="E258" s="120">
        <v>1</v>
      </c>
      <c r="F258" s="97">
        <v>5</v>
      </c>
      <c r="G258" s="203">
        <v>12.1694</v>
      </c>
      <c r="H258" s="146"/>
      <c r="I258" s="31"/>
    </row>
    <row r="259" spans="1:9" ht="21" customHeight="1" x14ac:dyDescent="0.25">
      <c r="A259" s="224" t="s">
        <v>1005</v>
      </c>
      <c r="B259" s="225" t="s">
        <v>688</v>
      </c>
      <c r="C259" s="154">
        <v>2022</v>
      </c>
      <c r="D259" s="120">
        <v>0.4</v>
      </c>
      <c r="E259" s="120">
        <v>1</v>
      </c>
      <c r="F259" s="97">
        <v>15</v>
      </c>
      <c r="G259" s="203">
        <v>1.7390204999999999</v>
      </c>
      <c r="H259" s="146"/>
      <c r="I259" s="31"/>
    </row>
    <row r="260" spans="1:9" ht="21" customHeight="1" x14ac:dyDescent="0.25">
      <c r="A260" s="224" t="s">
        <v>1005</v>
      </c>
      <c r="B260" s="225" t="s">
        <v>688</v>
      </c>
      <c r="C260" s="154">
        <v>2022</v>
      </c>
      <c r="D260" s="120">
        <v>0.4</v>
      </c>
      <c r="E260" s="120">
        <v>1</v>
      </c>
      <c r="F260" s="97"/>
      <c r="G260" s="203">
        <v>1.7390204999999999</v>
      </c>
      <c r="H260" s="146"/>
      <c r="I260" s="31"/>
    </row>
    <row r="261" spans="1:9" ht="21" customHeight="1" x14ac:dyDescent="0.25">
      <c r="A261" s="224" t="s">
        <v>1005</v>
      </c>
      <c r="B261" s="225" t="s">
        <v>119</v>
      </c>
      <c r="C261" s="154">
        <v>2022</v>
      </c>
      <c r="D261" s="120">
        <v>0.4</v>
      </c>
      <c r="E261" s="120">
        <v>1</v>
      </c>
      <c r="F261" s="97">
        <v>5</v>
      </c>
      <c r="G261" s="203">
        <v>6.4971800000000002</v>
      </c>
      <c r="H261" s="146"/>
      <c r="I261" s="31"/>
    </row>
    <row r="262" spans="1:9" ht="21" customHeight="1" x14ac:dyDescent="0.25">
      <c r="A262" s="224" t="s">
        <v>1005</v>
      </c>
      <c r="B262" s="225" t="s">
        <v>119</v>
      </c>
      <c r="C262" s="154">
        <v>2022</v>
      </c>
      <c r="D262" s="120">
        <v>0.4</v>
      </c>
      <c r="E262" s="120">
        <v>1</v>
      </c>
      <c r="F262" s="97">
        <v>5</v>
      </c>
      <c r="G262" s="203">
        <v>6.4971800000000002</v>
      </c>
      <c r="H262" s="146"/>
      <c r="I262" s="31"/>
    </row>
    <row r="263" spans="1:9" ht="21" customHeight="1" x14ac:dyDescent="0.25">
      <c r="A263" s="224" t="s">
        <v>1005</v>
      </c>
      <c r="B263" s="225" t="s">
        <v>118</v>
      </c>
      <c r="C263" s="154">
        <v>2022</v>
      </c>
      <c r="D263" s="120">
        <v>0.4</v>
      </c>
      <c r="E263" s="120">
        <v>1</v>
      </c>
      <c r="F263" s="97">
        <v>5</v>
      </c>
      <c r="G263" s="203">
        <v>6.4971800000000002</v>
      </c>
      <c r="H263" s="146"/>
      <c r="I263" s="31"/>
    </row>
    <row r="264" spans="1:9" ht="21" customHeight="1" x14ac:dyDescent="0.25">
      <c r="A264" s="224" t="s">
        <v>1005</v>
      </c>
      <c r="B264" s="225" t="s">
        <v>117</v>
      </c>
      <c r="C264" s="154">
        <v>2022</v>
      </c>
      <c r="D264" s="120">
        <v>0.4</v>
      </c>
      <c r="E264" s="120">
        <v>1</v>
      </c>
      <c r="F264" s="97">
        <v>5</v>
      </c>
      <c r="G264" s="203">
        <v>6.4971800000000002</v>
      </c>
      <c r="H264" s="146"/>
      <c r="I264" s="31"/>
    </row>
    <row r="265" spans="1:9" ht="21" customHeight="1" x14ac:dyDescent="0.25">
      <c r="A265" s="224" t="s">
        <v>1005</v>
      </c>
      <c r="B265" s="225" t="s">
        <v>393</v>
      </c>
      <c r="C265" s="154">
        <v>2022</v>
      </c>
      <c r="D265" s="120">
        <v>0.4</v>
      </c>
      <c r="E265" s="120">
        <v>1</v>
      </c>
      <c r="F265" s="97">
        <v>2</v>
      </c>
      <c r="G265" s="203">
        <v>6.4971800000000002</v>
      </c>
      <c r="H265" s="146"/>
      <c r="I265" s="31"/>
    </row>
    <row r="266" spans="1:9" ht="21" customHeight="1" x14ac:dyDescent="0.25">
      <c r="A266" s="224" t="s">
        <v>1005</v>
      </c>
      <c r="B266" s="225" t="s">
        <v>116</v>
      </c>
      <c r="C266" s="154">
        <v>2022</v>
      </c>
      <c r="D266" s="120">
        <v>0.4</v>
      </c>
      <c r="E266" s="120">
        <v>1</v>
      </c>
      <c r="F266" s="97">
        <v>15</v>
      </c>
      <c r="G266" s="203">
        <v>13.75783</v>
      </c>
      <c r="H266" s="146"/>
      <c r="I266" s="31"/>
    </row>
    <row r="267" spans="1:9" ht="21" customHeight="1" x14ac:dyDescent="0.25">
      <c r="A267" s="224" t="s">
        <v>1005</v>
      </c>
      <c r="B267" s="225" t="s">
        <v>391</v>
      </c>
      <c r="C267" s="154">
        <v>2022</v>
      </c>
      <c r="D267" s="120">
        <v>0.4</v>
      </c>
      <c r="E267" s="120">
        <v>1</v>
      </c>
      <c r="F267" s="97">
        <v>5</v>
      </c>
      <c r="G267" s="226">
        <v>5.1141007407407404</v>
      </c>
      <c r="H267" s="146"/>
      <c r="I267" s="31"/>
    </row>
    <row r="268" spans="1:9" ht="21" customHeight="1" x14ac:dyDescent="0.25">
      <c r="A268" s="131" t="s">
        <v>1005</v>
      </c>
      <c r="B268" s="124" t="s">
        <v>400</v>
      </c>
      <c r="C268" s="122">
        <v>2022</v>
      </c>
      <c r="D268" s="120">
        <v>0.4</v>
      </c>
      <c r="E268" s="120">
        <v>1</v>
      </c>
      <c r="F268" s="86">
        <v>20</v>
      </c>
      <c r="G268" s="132">
        <v>18.854959999999998</v>
      </c>
      <c r="H268" s="31"/>
    </row>
    <row r="269" spans="1:9" ht="21" customHeight="1" x14ac:dyDescent="0.25">
      <c r="A269" s="131" t="s">
        <v>1005</v>
      </c>
      <c r="B269" s="86" t="s">
        <v>398</v>
      </c>
      <c r="C269" s="120">
        <v>2022</v>
      </c>
      <c r="D269" s="120">
        <v>0.4</v>
      </c>
      <c r="E269" s="120">
        <v>1</v>
      </c>
      <c r="F269" s="86">
        <v>30</v>
      </c>
      <c r="G269" s="121">
        <v>7.2181800000000003</v>
      </c>
      <c r="H269" s="146"/>
      <c r="I269" s="31"/>
    </row>
    <row r="270" spans="1:9" ht="21" customHeight="1" x14ac:dyDescent="0.25">
      <c r="A270" s="131" t="s">
        <v>1005</v>
      </c>
      <c r="B270" s="86" t="s">
        <v>397</v>
      </c>
      <c r="C270" s="120">
        <v>2022</v>
      </c>
      <c r="D270" s="120">
        <v>0.4</v>
      </c>
      <c r="E270" s="120">
        <v>1</v>
      </c>
      <c r="F270" s="120">
        <v>25</v>
      </c>
      <c r="G270" s="121">
        <v>12.16817</v>
      </c>
      <c r="H270" s="146"/>
      <c r="I270" s="31"/>
    </row>
    <row r="271" spans="1:9" ht="21" customHeight="1" x14ac:dyDescent="0.25">
      <c r="A271" s="152" t="s">
        <v>1112</v>
      </c>
      <c r="B271" s="86" t="s">
        <v>395</v>
      </c>
      <c r="C271" s="120">
        <v>2022</v>
      </c>
      <c r="D271" s="120">
        <v>0.4</v>
      </c>
      <c r="E271" s="120">
        <v>1</v>
      </c>
      <c r="F271" s="120">
        <f>50+20+15+15</f>
        <v>100</v>
      </c>
      <c r="G271" s="121">
        <v>5.796735</v>
      </c>
      <c r="H271" s="146"/>
      <c r="I271" s="31"/>
    </row>
    <row r="272" spans="1:9" ht="21" customHeight="1" x14ac:dyDescent="0.25">
      <c r="A272" s="152" t="s">
        <v>1112</v>
      </c>
      <c r="B272" s="86" t="s">
        <v>394</v>
      </c>
      <c r="C272" s="120">
        <v>2022</v>
      </c>
      <c r="D272" s="120"/>
      <c r="E272" s="120">
        <v>1</v>
      </c>
      <c r="F272" s="120"/>
      <c r="G272" s="121">
        <v>2.3186939999999998</v>
      </c>
      <c r="H272" s="146"/>
      <c r="I272" s="31"/>
    </row>
    <row r="273" spans="1:13" ht="21" customHeight="1" x14ac:dyDescent="0.25">
      <c r="A273" s="131" t="s">
        <v>1005</v>
      </c>
      <c r="B273" s="86" t="s">
        <v>392</v>
      </c>
      <c r="C273" s="120">
        <v>2022</v>
      </c>
      <c r="D273" s="120">
        <v>0.4</v>
      </c>
      <c r="E273" s="120">
        <v>1</v>
      </c>
      <c r="F273" s="86">
        <v>30</v>
      </c>
      <c r="G273" s="121">
        <v>13.39476</v>
      </c>
      <c r="H273" s="146"/>
      <c r="I273" s="31"/>
    </row>
    <row r="274" spans="1:13" ht="21" customHeight="1" x14ac:dyDescent="0.25">
      <c r="A274" s="152" t="s">
        <v>1112</v>
      </c>
      <c r="B274" s="86" t="s">
        <v>390</v>
      </c>
      <c r="C274" s="120">
        <v>2022</v>
      </c>
      <c r="D274" s="120">
        <v>0.4</v>
      </c>
      <c r="E274" s="120">
        <v>1</v>
      </c>
      <c r="F274" s="86">
        <f>100+30+5</f>
        <v>135</v>
      </c>
      <c r="G274" s="121">
        <v>102.28201481481481</v>
      </c>
      <c r="H274" s="146"/>
      <c r="I274" s="31"/>
    </row>
    <row r="275" spans="1:13" ht="21" customHeight="1" x14ac:dyDescent="0.25">
      <c r="A275" s="152" t="s">
        <v>1112</v>
      </c>
      <c r="B275" s="86" t="s">
        <v>389</v>
      </c>
      <c r="C275" s="120">
        <v>2022</v>
      </c>
      <c r="D275" s="120"/>
      <c r="E275" s="120">
        <v>1</v>
      </c>
      <c r="F275" s="86"/>
      <c r="G275" s="121">
        <v>30.684604444444446</v>
      </c>
      <c r="H275" s="146"/>
      <c r="I275" s="31"/>
    </row>
    <row r="276" spans="1:13" ht="21" customHeight="1" x14ac:dyDescent="0.25">
      <c r="A276" s="363" t="s">
        <v>1005</v>
      </c>
      <c r="B276" s="364" t="s">
        <v>388</v>
      </c>
      <c r="C276" s="357">
        <v>2022</v>
      </c>
      <c r="D276" s="357">
        <v>0.4</v>
      </c>
      <c r="E276" s="357">
        <v>1</v>
      </c>
      <c r="F276" s="357">
        <v>30</v>
      </c>
      <c r="G276" s="365">
        <v>10.178430000000001</v>
      </c>
      <c r="H276" s="146"/>
      <c r="I276" s="31"/>
    </row>
    <row r="277" spans="1:13" ht="21" customHeight="1" x14ac:dyDescent="0.25">
      <c r="A277" s="363" t="s">
        <v>1112</v>
      </c>
      <c r="B277" s="360" t="s">
        <v>387</v>
      </c>
      <c r="C277" s="357">
        <v>2022</v>
      </c>
      <c r="D277" s="357">
        <v>0.4</v>
      </c>
      <c r="E277" s="357">
        <v>1</v>
      </c>
      <c r="F277" s="364">
        <v>60</v>
      </c>
      <c r="G277" s="365">
        <v>140.36476999999999</v>
      </c>
      <c r="H277" s="146"/>
      <c r="I277" s="31"/>
    </row>
    <row r="278" spans="1:13" ht="21" customHeight="1" x14ac:dyDescent="0.25">
      <c r="A278" s="363" t="s">
        <v>1005</v>
      </c>
      <c r="B278" s="364" t="s">
        <v>385</v>
      </c>
      <c r="C278" s="357">
        <v>2022</v>
      </c>
      <c r="D278" s="357">
        <v>0.4</v>
      </c>
      <c r="E278" s="357">
        <v>1</v>
      </c>
      <c r="F278" s="364">
        <v>50</v>
      </c>
      <c r="G278" s="365">
        <v>10.01036</v>
      </c>
      <c r="H278" s="146"/>
      <c r="I278" s="31"/>
    </row>
    <row r="279" spans="1:13" ht="21" customHeight="1" x14ac:dyDescent="0.25">
      <c r="A279" s="366" t="s">
        <v>1005</v>
      </c>
      <c r="B279" s="364" t="s">
        <v>1003</v>
      </c>
      <c r="C279" s="357">
        <v>2023</v>
      </c>
      <c r="D279" s="357">
        <v>0.4</v>
      </c>
      <c r="E279" s="357">
        <v>1</v>
      </c>
      <c r="F279" s="359">
        <v>15</v>
      </c>
      <c r="G279" s="363">
        <v>84.271900000000002</v>
      </c>
      <c r="H279" s="146"/>
      <c r="I279" s="31"/>
      <c r="L279" s="15"/>
    </row>
    <row r="280" spans="1:13" ht="21" customHeight="1" x14ac:dyDescent="0.25">
      <c r="A280" s="366" t="s">
        <v>1005</v>
      </c>
      <c r="B280" s="364" t="s">
        <v>1004</v>
      </c>
      <c r="C280" s="357">
        <v>2022</v>
      </c>
      <c r="D280" s="359">
        <v>0.4</v>
      </c>
      <c r="E280" s="357">
        <v>1</v>
      </c>
      <c r="F280" s="359">
        <v>5</v>
      </c>
      <c r="G280" s="363">
        <v>138.08072000000001</v>
      </c>
      <c r="H280" s="146"/>
      <c r="I280" s="31"/>
      <c r="L280" s="15"/>
    </row>
    <row r="281" spans="1:13" ht="21" customHeight="1" x14ac:dyDescent="0.25">
      <c r="A281" s="366" t="s">
        <v>1112</v>
      </c>
      <c r="B281" s="364" t="s">
        <v>1414</v>
      </c>
      <c r="C281" s="357">
        <v>2024</v>
      </c>
      <c r="D281" s="359">
        <v>0.4</v>
      </c>
      <c r="E281" s="357">
        <v>1</v>
      </c>
      <c r="F281" s="359">
        <v>150</v>
      </c>
      <c r="G281" s="363">
        <f>192821.98/1000</f>
        <v>192.82198</v>
      </c>
      <c r="H281" s="146"/>
      <c r="I281" s="31"/>
      <c r="L281" s="15"/>
    </row>
    <row r="282" spans="1:13" ht="21" customHeight="1" x14ac:dyDescent="0.25">
      <c r="A282" s="366" t="s">
        <v>1006</v>
      </c>
      <c r="B282" s="364" t="s">
        <v>1417</v>
      </c>
      <c r="C282" s="357">
        <v>2024</v>
      </c>
      <c r="D282" s="359">
        <v>0.4</v>
      </c>
      <c r="E282" s="357">
        <v>1</v>
      </c>
      <c r="F282" s="359">
        <v>300</v>
      </c>
      <c r="G282" s="363">
        <f>127999.41/1000</f>
        <v>127.99941</v>
      </c>
      <c r="H282" s="146"/>
      <c r="I282" s="31"/>
      <c r="L282" s="15"/>
    </row>
    <row r="283" spans="1:13" ht="47.1" customHeight="1" x14ac:dyDescent="0.25">
      <c r="A283" s="190" t="s">
        <v>561</v>
      </c>
      <c r="B283" s="218" t="s">
        <v>773</v>
      </c>
      <c r="C283" s="33"/>
      <c r="D283" s="17"/>
      <c r="E283" s="17"/>
      <c r="F283" s="12"/>
      <c r="G283" s="193"/>
      <c r="H283" s="135"/>
      <c r="I283" s="31"/>
      <c r="L283" s="135"/>
      <c r="M283" s="135"/>
    </row>
    <row r="284" spans="1:13" s="30" customFormat="1" ht="72.599999999999994" customHeight="1" x14ac:dyDescent="0.25">
      <c r="A284" s="192" t="s">
        <v>559</v>
      </c>
      <c r="B284" s="29" t="s">
        <v>381</v>
      </c>
      <c r="C284" s="13"/>
      <c r="D284" s="12"/>
      <c r="E284" s="12"/>
      <c r="F284" s="12"/>
      <c r="G284" s="193"/>
      <c r="H284" s="2"/>
      <c r="J284" s="312"/>
    </row>
    <row r="285" spans="1:13" ht="39.6" customHeight="1" x14ac:dyDescent="0.25">
      <c r="A285" s="192" t="s">
        <v>557</v>
      </c>
      <c r="B285" s="29" t="s">
        <v>326</v>
      </c>
      <c r="C285" s="13"/>
      <c r="D285" s="12"/>
      <c r="E285" s="12"/>
      <c r="F285" s="12"/>
      <c r="G285" s="193"/>
    </row>
    <row r="286" spans="1:13" ht="139.5" customHeight="1" x14ac:dyDescent="0.25">
      <c r="A286" s="192" t="s">
        <v>555</v>
      </c>
      <c r="B286" s="29" t="s">
        <v>378</v>
      </c>
      <c r="C286" s="13"/>
      <c r="D286" s="12"/>
      <c r="E286" s="12"/>
      <c r="F286" s="12"/>
      <c r="G286" s="189"/>
    </row>
    <row r="287" spans="1:13" ht="39.950000000000003" customHeight="1" x14ac:dyDescent="0.25">
      <c r="A287" s="192" t="s">
        <v>553</v>
      </c>
      <c r="B287" s="29" t="s">
        <v>376</v>
      </c>
      <c r="C287" s="13"/>
      <c r="D287" s="12"/>
      <c r="E287" s="12"/>
      <c r="F287" s="12"/>
      <c r="G287" s="189"/>
    </row>
    <row r="288" spans="1:13" ht="18" customHeight="1" x14ac:dyDescent="0.25">
      <c r="A288" s="368" t="s">
        <v>774</v>
      </c>
      <c r="B288" s="369" t="s">
        <v>100</v>
      </c>
      <c r="C288" s="357">
        <v>2022</v>
      </c>
      <c r="D288" s="357" t="s">
        <v>339</v>
      </c>
      <c r="E288" s="357" t="s">
        <v>334</v>
      </c>
      <c r="F288" s="359">
        <f>250*0.93</f>
        <v>232.5</v>
      </c>
      <c r="G288" s="363">
        <v>58.758555483870971</v>
      </c>
      <c r="H288" s="146"/>
    </row>
    <row r="289" spans="1:8" ht="18" customHeight="1" x14ac:dyDescent="0.25">
      <c r="A289" s="368" t="s">
        <v>774</v>
      </c>
      <c r="B289" s="369" t="s">
        <v>99</v>
      </c>
      <c r="C289" s="357">
        <v>2022</v>
      </c>
      <c r="D289" s="357" t="s">
        <v>339</v>
      </c>
      <c r="E289" s="357" t="s">
        <v>334</v>
      </c>
      <c r="F289" s="359"/>
      <c r="G289" s="363">
        <v>58.758555483870971</v>
      </c>
      <c r="H289" s="146"/>
    </row>
    <row r="290" spans="1:8" ht="18" customHeight="1" x14ac:dyDescent="0.25">
      <c r="A290" s="368" t="s">
        <v>777</v>
      </c>
      <c r="B290" s="369" t="s">
        <v>686</v>
      </c>
      <c r="C290" s="357">
        <v>2022</v>
      </c>
      <c r="D290" s="357" t="s">
        <v>331</v>
      </c>
      <c r="E290" s="357" t="s">
        <v>334</v>
      </c>
      <c r="F290" s="359">
        <f>400*0.94</f>
        <v>376</v>
      </c>
      <c r="G290" s="363">
        <v>23.651841702127662</v>
      </c>
      <c r="H290" s="146"/>
    </row>
    <row r="291" spans="1:8" ht="18" customHeight="1" x14ac:dyDescent="0.25">
      <c r="A291" s="368" t="s">
        <v>778</v>
      </c>
      <c r="B291" s="369" t="s">
        <v>98</v>
      </c>
      <c r="C291" s="357">
        <v>2022</v>
      </c>
      <c r="D291" s="357" t="s">
        <v>339</v>
      </c>
      <c r="E291" s="357" t="s">
        <v>334</v>
      </c>
      <c r="F291" s="359">
        <f>100*0.93</f>
        <v>93</v>
      </c>
      <c r="G291" s="363">
        <v>137.4381193548387</v>
      </c>
      <c r="H291" s="146"/>
    </row>
    <row r="292" spans="1:8" ht="18" customHeight="1" x14ac:dyDescent="0.25">
      <c r="A292" s="368" t="s">
        <v>778</v>
      </c>
      <c r="B292" s="369" t="s">
        <v>97</v>
      </c>
      <c r="C292" s="357">
        <v>2022</v>
      </c>
      <c r="D292" s="357" t="s">
        <v>339</v>
      </c>
      <c r="E292" s="357" t="s">
        <v>334</v>
      </c>
      <c r="F292" s="359"/>
      <c r="G292" s="363">
        <v>137.4381193548387</v>
      </c>
      <c r="H292" s="146"/>
    </row>
    <row r="293" spans="1:8" ht="18" customHeight="1" x14ac:dyDescent="0.25">
      <c r="A293" s="368" t="s">
        <v>774</v>
      </c>
      <c r="B293" s="369" t="s">
        <v>96</v>
      </c>
      <c r="C293" s="357">
        <v>2022</v>
      </c>
      <c r="D293" s="357" t="s">
        <v>339</v>
      </c>
      <c r="E293" s="357" t="s">
        <v>334</v>
      </c>
      <c r="F293" s="359">
        <f>250*0.93</f>
        <v>232.5</v>
      </c>
      <c r="G293" s="363">
        <v>85.336790967741933</v>
      </c>
      <c r="H293" s="146"/>
    </row>
    <row r="294" spans="1:8" ht="18" customHeight="1" x14ac:dyDescent="0.25">
      <c r="A294" s="368" t="s">
        <v>774</v>
      </c>
      <c r="B294" s="369" t="s">
        <v>95</v>
      </c>
      <c r="C294" s="357">
        <v>2022</v>
      </c>
      <c r="D294" s="357" t="s">
        <v>339</v>
      </c>
      <c r="E294" s="357" t="s">
        <v>334</v>
      </c>
      <c r="F294" s="359"/>
      <c r="G294" s="363">
        <v>85.336790967741933</v>
      </c>
      <c r="H294" s="146"/>
    </row>
    <row r="295" spans="1:8" ht="18" customHeight="1" x14ac:dyDescent="0.25">
      <c r="A295" s="368" t="s">
        <v>774</v>
      </c>
      <c r="B295" s="369" t="s">
        <v>94</v>
      </c>
      <c r="C295" s="357">
        <v>2022</v>
      </c>
      <c r="D295" s="357" t="s">
        <v>339</v>
      </c>
      <c r="E295" s="357" t="s">
        <v>334</v>
      </c>
      <c r="F295" s="359"/>
      <c r="G295" s="363">
        <v>28.44559698924731</v>
      </c>
      <c r="H295" s="146"/>
    </row>
    <row r="296" spans="1:8" ht="18" customHeight="1" x14ac:dyDescent="0.25">
      <c r="A296" s="370" t="s">
        <v>776</v>
      </c>
      <c r="B296" s="367" t="s">
        <v>350</v>
      </c>
      <c r="C296" s="361">
        <v>2022</v>
      </c>
      <c r="D296" s="361" t="s">
        <v>331</v>
      </c>
      <c r="E296" s="357" t="s">
        <v>334</v>
      </c>
      <c r="F296" s="361">
        <v>150.39999999999998</v>
      </c>
      <c r="G296" s="371">
        <v>811.24816128989369</v>
      </c>
      <c r="H296" s="146"/>
    </row>
    <row r="297" spans="1:8" ht="18" customHeight="1" x14ac:dyDescent="0.25">
      <c r="A297" s="370" t="s">
        <v>776</v>
      </c>
      <c r="B297" s="367" t="s">
        <v>349</v>
      </c>
      <c r="C297" s="361">
        <v>2022</v>
      </c>
      <c r="D297" s="361" t="s">
        <v>331</v>
      </c>
      <c r="E297" s="357" t="s">
        <v>334</v>
      </c>
      <c r="F297" s="361">
        <v>250</v>
      </c>
      <c r="G297" s="371">
        <v>806.49431399999992</v>
      </c>
      <c r="H297" s="146"/>
    </row>
    <row r="298" spans="1:8" ht="18" customHeight="1" x14ac:dyDescent="0.25">
      <c r="A298" s="370" t="s">
        <v>776</v>
      </c>
      <c r="B298" s="367" t="s">
        <v>348</v>
      </c>
      <c r="C298" s="361">
        <v>2022</v>
      </c>
      <c r="D298" s="361" t="s">
        <v>331</v>
      </c>
      <c r="E298" s="357" t="s">
        <v>334</v>
      </c>
      <c r="F298" s="361"/>
      <c r="G298" s="371">
        <v>537.66287599999998</v>
      </c>
      <c r="H298" s="146"/>
    </row>
    <row r="299" spans="1:8" ht="18" customHeight="1" x14ac:dyDescent="0.25">
      <c r="A299" s="370" t="s">
        <v>776</v>
      </c>
      <c r="B299" s="367" t="s">
        <v>347</v>
      </c>
      <c r="C299" s="361">
        <v>2022</v>
      </c>
      <c r="D299" s="361" t="s">
        <v>331</v>
      </c>
      <c r="E299" s="357" t="s">
        <v>334</v>
      </c>
      <c r="F299" s="361">
        <v>235</v>
      </c>
      <c r="G299" s="371">
        <v>202.79097021276596</v>
      </c>
      <c r="H299" s="146"/>
    </row>
    <row r="300" spans="1:8" ht="18" customHeight="1" x14ac:dyDescent="0.25">
      <c r="A300" s="370" t="s">
        <v>777</v>
      </c>
      <c r="B300" s="367" t="s">
        <v>346</v>
      </c>
      <c r="C300" s="361">
        <v>2022</v>
      </c>
      <c r="D300" s="361" t="s">
        <v>331</v>
      </c>
      <c r="E300" s="357" t="s">
        <v>334</v>
      </c>
      <c r="F300" s="361">
        <v>376</v>
      </c>
      <c r="G300" s="371">
        <v>147.82401063829789</v>
      </c>
      <c r="H300" s="146"/>
    </row>
    <row r="301" spans="1:8" ht="18" customHeight="1" x14ac:dyDescent="0.25">
      <c r="A301" s="370" t="s">
        <v>777</v>
      </c>
      <c r="B301" s="367" t="s">
        <v>345</v>
      </c>
      <c r="C301" s="361">
        <v>2022</v>
      </c>
      <c r="D301" s="361" t="s">
        <v>331</v>
      </c>
      <c r="E301" s="357" t="s">
        <v>334</v>
      </c>
      <c r="F301" s="361"/>
      <c r="G301" s="371">
        <v>443.47203191489365</v>
      </c>
      <c r="H301" s="146"/>
    </row>
    <row r="302" spans="1:8" ht="18" customHeight="1" x14ac:dyDescent="0.25">
      <c r="A302" s="370" t="s">
        <v>777</v>
      </c>
      <c r="B302" s="367" t="s">
        <v>344</v>
      </c>
      <c r="C302" s="361">
        <v>2022</v>
      </c>
      <c r="D302" s="361" t="s">
        <v>331</v>
      </c>
      <c r="E302" s="357" t="s">
        <v>334</v>
      </c>
      <c r="F302" s="361"/>
      <c r="G302" s="371">
        <v>443.47203191489365</v>
      </c>
      <c r="H302" s="146"/>
    </row>
    <row r="303" spans="1:8" ht="18" customHeight="1" x14ac:dyDescent="0.25">
      <c r="A303" s="370" t="s">
        <v>779</v>
      </c>
      <c r="B303" s="367" t="s">
        <v>343</v>
      </c>
      <c r="C303" s="361">
        <v>2022</v>
      </c>
      <c r="D303" s="361">
        <v>0.4</v>
      </c>
      <c r="E303" s="357" t="s">
        <v>334</v>
      </c>
      <c r="F303" s="361">
        <v>65</v>
      </c>
      <c r="G303" s="371">
        <v>747.34202925531918</v>
      </c>
      <c r="H303" s="146"/>
    </row>
    <row r="304" spans="1:8" ht="18" customHeight="1" x14ac:dyDescent="0.25">
      <c r="A304" s="370" t="s">
        <v>774</v>
      </c>
      <c r="B304" s="367" t="s">
        <v>342</v>
      </c>
      <c r="C304" s="361">
        <v>2022</v>
      </c>
      <c r="D304" s="361">
        <v>0.4</v>
      </c>
      <c r="E304" s="357" t="s">
        <v>334</v>
      </c>
      <c r="F304" s="361">
        <v>232.5</v>
      </c>
      <c r="G304" s="371">
        <v>853.36790967741933</v>
      </c>
      <c r="H304" s="146"/>
    </row>
    <row r="305" spans="1:12" ht="18" customHeight="1" x14ac:dyDescent="0.25">
      <c r="A305" s="370" t="s">
        <v>774</v>
      </c>
      <c r="B305" s="367" t="s">
        <v>340</v>
      </c>
      <c r="C305" s="361">
        <v>2022</v>
      </c>
      <c r="D305" s="361">
        <v>0.4</v>
      </c>
      <c r="E305" s="357" t="s">
        <v>334</v>
      </c>
      <c r="F305" s="361">
        <v>232.5</v>
      </c>
      <c r="G305" s="371">
        <v>432.71317419354841</v>
      </c>
      <c r="H305" s="146"/>
    </row>
    <row r="306" spans="1:12" ht="18" customHeight="1" x14ac:dyDescent="0.25">
      <c r="A306" s="370" t="s">
        <v>776</v>
      </c>
      <c r="B306" s="367" t="s">
        <v>338</v>
      </c>
      <c r="C306" s="361">
        <v>2022</v>
      </c>
      <c r="D306" s="361">
        <v>0.4</v>
      </c>
      <c r="E306" s="357" t="s">
        <v>334</v>
      </c>
      <c r="F306" s="361">
        <v>150.39999999999998</v>
      </c>
      <c r="G306" s="371">
        <v>913.50110372340441</v>
      </c>
      <c r="H306" s="146"/>
    </row>
    <row r="307" spans="1:12" ht="18" customHeight="1" x14ac:dyDescent="0.25">
      <c r="A307" s="370" t="s">
        <v>776</v>
      </c>
      <c r="B307" s="367" t="s">
        <v>336</v>
      </c>
      <c r="C307" s="361">
        <v>2022</v>
      </c>
      <c r="D307" s="361">
        <v>0.4</v>
      </c>
      <c r="E307" s="357" t="s">
        <v>334</v>
      </c>
      <c r="F307" s="361">
        <v>150.39999999999998</v>
      </c>
      <c r="G307" s="371">
        <v>782.22705452127673</v>
      </c>
      <c r="H307" s="146"/>
    </row>
    <row r="308" spans="1:12" ht="18" customHeight="1" x14ac:dyDescent="0.25">
      <c r="A308" s="370" t="s">
        <v>777</v>
      </c>
      <c r="B308" s="367" t="s">
        <v>335</v>
      </c>
      <c r="C308" s="361">
        <v>2022</v>
      </c>
      <c r="D308" s="361" t="s">
        <v>331</v>
      </c>
      <c r="E308" s="357" t="s">
        <v>334</v>
      </c>
      <c r="F308" s="361">
        <v>376</v>
      </c>
      <c r="G308" s="371">
        <v>558.5339800531915</v>
      </c>
      <c r="H308" s="146"/>
    </row>
    <row r="309" spans="1:12" ht="18" customHeight="1" x14ac:dyDescent="0.25">
      <c r="A309" s="370" t="s">
        <v>777</v>
      </c>
      <c r="B309" s="367" t="s">
        <v>332</v>
      </c>
      <c r="C309" s="361">
        <v>2022</v>
      </c>
      <c r="D309" s="361"/>
      <c r="E309" s="357" t="s">
        <v>334</v>
      </c>
      <c r="F309" s="361"/>
      <c r="G309" s="371">
        <v>558.5339800531915</v>
      </c>
      <c r="H309" s="146"/>
    </row>
    <row r="310" spans="1:12" ht="32.25" customHeight="1" x14ac:dyDescent="0.25">
      <c r="A310" s="370" t="s">
        <v>777</v>
      </c>
      <c r="B310" s="367" t="s">
        <v>1109</v>
      </c>
      <c r="C310" s="361">
        <v>2023</v>
      </c>
      <c r="D310" s="361" t="s">
        <v>1001</v>
      </c>
      <c r="E310" s="357" t="s">
        <v>334</v>
      </c>
      <c r="F310" s="361">
        <f>250*1*0.94</f>
        <v>235</v>
      </c>
      <c r="G310" s="371">
        <v>931.98924999999997</v>
      </c>
      <c r="H310" s="146"/>
      <c r="L310" s="15"/>
    </row>
    <row r="311" spans="1:12" ht="34.5" customHeight="1" x14ac:dyDescent="0.25">
      <c r="A311" s="370" t="s">
        <v>777</v>
      </c>
      <c r="B311" s="367" t="s">
        <v>1110</v>
      </c>
      <c r="C311" s="361">
        <v>2021</v>
      </c>
      <c r="D311" s="361" t="s">
        <v>1001</v>
      </c>
      <c r="E311" s="357" t="s">
        <v>334</v>
      </c>
      <c r="F311" s="361">
        <f>400*1*0.94</f>
        <v>376</v>
      </c>
      <c r="G311" s="363">
        <v>1111.6365600000001</v>
      </c>
      <c r="H311" s="146"/>
      <c r="L311" s="15"/>
    </row>
    <row r="312" spans="1:12" ht="28.5" customHeight="1" x14ac:dyDescent="0.25">
      <c r="A312" s="370" t="s">
        <v>1002</v>
      </c>
      <c r="B312" s="367" t="s">
        <v>1111</v>
      </c>
      <c r="C312" s="361">
        <v>2023</v>
      </c>
      <c r="D312" s="361" t="s">
        <v>1000</v>
      </c>
      <c r="E312" s="357" t="s">
        <v>334</v>
      </c>
      <c r="F312" s="361">
        <f>100*1*0.93</f>
        <v>93</v>
      </c>
      <c r="G312" s="363">
        <v>914.42728</v>
      </c>
      <c r="H312" s="146"/>
      <c r="L312" s="15"/>
    </row>
    <row r="313" spans="1:12" ht="28.5" customHeight="1" x14ac:dyDescent="0.25">
      <c r="A313" s="370" t="s">
        <v>777</v>
      </c>
      <c r="B313" s="367" t="s">
        <v>1440</v>
      </c>
      <c r="C313" s="361">
        <v>2024</v>
      </c>
      <c r="D313" s="361" t="s">
        <v>1001</v>
      </c>
      <c r="E313" s="357" t="s">
        <v>334</v>
      </c>
      <c r="F313" s="361">
        <f>400*1*0.93</f>
        <v>372</v>
      </c>
      <c r="G313" s="363">
        <f>1775744.89/1000</f>
        <v>1775.7448899999999</v>
      </c>
      <c r="H313" s="146"/>
      <c r="L313" s="15"/>
    </row>
    <row r="314" spans="1:12" ht="28.5" customHeight="1" x14ac:dyDescent="0.25">
      <c r="A314" s="370" t="s">
        <v>1443</v>
      </c>
      <c r="B314" s="367" t="s">
        <v>1441</v>
      </c>
      <c r="C314" s="361">
        <v>2024</v>
      </c>
      <c r="D314" s="361" t="s">
        <v>1000</v>
      </c>
      <c r="E314" s="361" t="s">
        <v>334</v>
      </c>
      <c r="F314" s="361">
        <f>250*2*0.93</f>
        <v>465</v>
      </c>
      <c r="G314" s="363">
        <f>3134062.78/1000</f>
        <v>3134.0627799999997</v>
      </c>
      <c r="H314" s="146"/>
      <c r="L314" s="15"/>
    </row>
    <row r="315" spans="1:12" ht="28.5" customHeight="1" x14ac:dyDescent="0.25">
      <c r="A315" s="370" t="s">
        <v>774</v>
      </c>
      <c r="B315" s="367" t="s">
        <v>1442</v>
      </c>
      <c r="C315" s="361">
        <v>2024</v>
      </c>
      <c r="D315" s="361" t="s">
        <v>1000</v>
      </c>
      <c r="E315" s="361" t="s">
        <v>334</v>
      </c>
      <c r="F315" s="359">
        <f>160*1*0.93</f>
        <v>148.80000000000001</v>
      </c>
      <c r="G315" s="363">
        <f>1433084.25/1000</f>
        <v>1433.0842500000001</v>
      </c>
      <c r="H315" s="146"/>
      <c r="L315" s="15"/>
    </row>
    <row r="316" spans="1:12" ht="43.5" customHeight="1" x14ac:dyDescent="0.25">
      <c r="A316" s="19">
        <v>5</v>
      </c>
      <c r="B316" s="18" t="s">
        <v>330</v>
      </c>
      <c r="C316" s="12"/>
      <c r="D316" s="12"/>
      <c r="E316" s="12"/>
      <c r="F316" s="12"/>
      <c r="G316" s="193"/>
    </row>
    <row r="317" spans="1:12" ht="47.25" x14ac:dyDescent="0.25">
      <c r="A317" s="207" t="s">
        <v>479</v>
      </c>
      <c r="B317" s="14" t="s">
        <v>328</v>
      </c>
      <c r="C317" s="12"/>
      <c r="D317" s="12"/>
      <c r="E317" s="12"/>
      <c r="F317" s="12"/>
      <c r="G317" s="193"/>
    </row>
    <row r="318" spans="1:12" ht="31.5" x14ac:dyDescent="0.25">
      <c r="A318" s="207" t="s">
        <v>477</v>
      </c>
      <c r="B318" s="14" t="s">
        <v>326</v>
      </c>
      <c r="C318" s="12"/>
      <c r="D318" s="12"/>
      <c r="E318" s="12"/>
      <c r="F318" s="12"/>
      <c r="G318" s="193"/>
    </row>
    <row r="319" spans="1:12" ht="141.75" x14ac:dyDescent="0.25">
      <c r="A319" s="207" t="s">
        <v>475</v>
      </c>
      <c r="B319" s="14" t="s">
        <v>324</v>
      </c>
      <c r="C319" s="12"/>
      <c r="D319" s="12"/>
      <c r="E319" s="12"/>
      <c r="F319" s="12"/>
      <c r="G319" s="193"/>
    </row>
    <row r="320" spans="1:12" ht="18" customHeight="1" x14ac:dyDescent="0.25">
      <c r="A320" s="207" t="s">
        <v>780</v>
      </c>
      <c r="B320" s="14" t="s">
        <v>322</v>
      </c>
      <c r="C320" s="12"/>
      <c r="D320" s="12"/>
      <c r="E320" s="12"/>
      <c r="F320" s="12"/>
      <c r="G320" s="193"/>
    </row>
    <row r="321" spans="1:9" ht="31.5" x14ac:dyDescent="0.25">
      <c r="A321" s="208">
        <v>6</v>
      </c>
      <c r="B321" s="16" t="s">
        <v>321</v>
      </c>
      <c r="C321" s="12"/>
      <c r="D321" s="12"/>
      <c r="E321" s="12"/>
      <c r="F321" s="12"/>
      <c r="G321" s="193"/>
    </row>
    <row r="322" spans="1:9" ht="31.5" x14ac:dyDescent="0.25">
      <c r="A322" s="207" t="s">
        <v>382</v>
      </c>
      <c r="B322" s="14" t="s">
        <v>319</v>
      </c>
      <c r="C322" s="12"/>
      <c r="D322" s="12"/>
      <c r="E322" s="12"/>
      <c r="F322" s="12"/>
      <c r="G322" s="193"/>
    </row>
    <row r="323" spans="1:9" ht="110.25" x14ac:dyDescent="0.25">
      <c r="A323" s="207" t="s">
        <v>380</v>
      </c>
      <c r="B323" s="14" t="s">
        <v>781</v>
      </c>
      <c r="C323" s="12"/>
      <c r="D323" s="12"/>
      <c r="E323" s="12"/>
      <c r="F323" s="12"/>
      <c r="G323" s="193"/>
    </row>
    <row r="324" spans="1:9" x14ac:dyDescent="0.25">
      <c r="A324" s="207" t="s">
        <v>379</v>
      </c>
      <c r="B324" s="14" t="s">
        <v>315</v>
      </c>
      <c r="C324" s="12"/>
      <c r="D324" s="12"/>
      <c r="E324" s="12"/>
      <c r="F324" s="12"/>
      <c r="G324" s="193"/>
    </row>
    <row r="325" spans="1:9" ht="47.25" x14ac:dyDescent="0.25">
      <c r="A325" s="208">
        <v>7</v>
      </c>
      <c r="B325" s="16" t="s">
        <v>313</v>
      </c>
      <c r="C325" s="13"/>
      <c r="D325" s="12"/>
      <c r="E325" s="12"/>
      <c r="F325" s="12"/>
      <c r="G325" s="193"/>
    </row>
    <row r="326" spans="1:9" ht="33" customHeight="1" x14ac:dyDescent="0.25">
      <c r="A326" s="207" t="s">
        <v>782</v>
      </c>
      <c r="B326" s="14" t="s">
        <v>311</v>
      </c>
      <c r="C326" s="13"/>
      <c r="D326" s="12"/>
      <c r="E326" s="12"/>
      <c r="F326" s="12"/>
      <c r="G326" s="193"/>
    </row>
    <row r="327" spans="1:9" ht="35.25" customHeight="1" x14ac:dyDescent="0.25">
      <c r="A327" s="207" t="s">
        <v>783</v>
      </c>
      <c r="B327" s="14" t="s">
        <v>309</v>
      </c>
      <c r="C327" s="13"/>
      <c r="D327" s="12"/>
      <c r="E327" s="12"/>
      <c r="F327" s="12"/>
      <c r="G327" s="193"/>
      <c r="I327" s="15"/>
    </row>
    <row r="328" spans="1:9" x14ac:dyDescent="0.25">
      <c r="A328" s="236" t="s">
        <v>785</v>
      </c>
      <c r="B328" s="237" t="s">
        <v>122</v>
      </c>
      <c r="C328" s="238">
        <v>2022</v>
      </c>
      <c r="D328" s="228">
        <v>0.4</v>
      </c>
      <c r="E328" s="228"/>
      <c r="F328" s="229">
        <v>15</v>
      </c>
      <c r="G328" s="239">
        <v>8.5298999999999996</v>
      </c>
      <c r="H328" s="147"/>
    </row>
    <row r="329" spans="1:9" x14ac:dyDescent="0.25">
      <c r="A329" s="105" t="s">
        <v>785</v>
      </c>
      <c r="B329" s="94" t="s">
        <v>121</v>
      </c>
      <c r="C329" s="95">
        <v>2022</v>
      </c>
      <c r="D329" s="96">
        <v>0.4</v>
      </c>
      <c r="E329" s="96"/>
      <c r="F329" s="97">
        <v>15</v>
      </c>
      <c r="G329" s="209">
        <v>25.28098</v>
      </c>
      <c r="H329" s="147"/>
    </row>
    <row r="330" spans="1:9" x14ac:dyDescent="0.25">
      <c r="A330" s="105" t="s">
        <v>785</v>
      </c>
      <c r="B330" s="94" t="s">
        <v>399</v>
      </c>
      <c r="C330" s="95">
        <v>2022</v>
      </c>
      <c r="D330" s="96">
        <v>0.4</v>
      </c>
      <c r="E330" s="96"/>
      <c r="F330" s="97">
        <v>10</v>
      </c>
      <c r="G330" s="129">
        <v>14.67</v>
      </c>
      <c r="H330" s="147"/>
    </row>
    <row r="331" spans="1:9" x14ac:dyDescent="0.25">
      <c r="A331" s="105" t="s">
        <v>785</v>
      </c>
      <c r="B331" s="94" t="s">
        <v>120</v>
      </c>
      <c r="C331" s="95">
        <v>2022</v>
      </c>
      <c r="D331" s="96">
        <v>0.4</v>
      </c>
      <c r="E331" s="96"/>
      <c r="F331" s="97">
        <v>15</v>
      </c>
      <c r="G331" s="129">
        <v>27.48939</v>
      </c>
      <c r="H331" s="147"/>
    </row>
    <row r="332" spans="1:9" x14ac:dyDescent="0.25">
      <c r="A332" s="105" t="s">
        <v>784</v>
      </c>
      <c r="B332" s="94" t="s">
        <v>684</v>
      </c>
      <c r="C332" s="95">
        <v>2022</v>
      </c>
      <c r="D332" s="96">
        <v>0.4</v>
      </c>
      <c r="E332" s="96"/>
      <c r="F332" s="97">
        <v>3</v>
      </c>
      <c r="G332" s="203">
        <v>13.676449999999999</v>
      </c>
      <c r="H332" s="147"/>
    </row>
    <row r="333" spans="1:9" x14ac:dyDescent="0.25">
      <c r="A333" s="105" t="s">
        <v>784</v>
      </c>
      <c r="B333" s="94" t="s">
        <v>684</v>
      </c>
      <c r="C333" s="95">
        <v>2022</v>
      </c>
      <c r="D333" s="96">
        <v>0.4</v>
      </c>
      <c r="E333" s="96"/>
      <c r="F333" s="97">
        <v>3</v>
      </c>
      <c r="G333" s="203">
        <v>13.676449999999999</v>
      </c>
      <c r="H333" s="147"/>
    </row>
    <row r="334" spans="1:9" x14ac:dyDescent="0.25">
      <c r="A334" s="105" t="s">
        <v>784</v>
      </c>
      <c r="B334" s="94" t="s">
        <v>684</v>
      </c>
      <c r="C334" s="95">
        <v>2022</v>
      </c>
      <c r="D334" s="96">
        <v>0.4</v>
      </c>
      <c r="E334" s="96"/>
      <c r="F334" s="97">
        <v>3</v>
      </c>
      <c r="G334" s="203">
        <v>13.676449999999999</v>
      </c>
      <c r="H334" s="147"/>
    </row>
    <row r="335" spans="1:9" x14ac:dyDescent="0.25">
      <c r="A335" s="105" t="s">
        <v>784</v>
      </c>
      <c r="B335" s="94" t="s">
        <v>396</v>
      </c>
      <c r="C335" s="95">
        <v>2022</v>
      </c>
      <c r="D335" s="96">
        <v>0.4</v>
      </c>
      <c r="E335" s="96"/>
      <c r="F335" s="97">
        <v>5</v>
      </c>
      <c r="G335" s="202">
        <v>8.6006599999999995</v>
      </c>
      <c r="H335" s="147"/>
    </row>
    <row r="336" spans="1:9" x14ac:dyDescent="0.25">
      <c r="A336" s="105" t="s">
        <v>785</v>
      </c>
      <c r="B336" s="94" t="s">
        <v>571</v>
      </c>
      <c r="C336" s="95">
        <v>2022</v>
      </c>
      <c r="D336" s="96">
        <v>0.4</v>
      </c>
      <c r="E336" s="96"/>
      <c r="F336" s="97">
        <v>15</v>
      </c>
      <c r="G336" s="209">
        <v>23.731759999999998</v>
      </c>
      <c r="H336" s="147"/>
    </row>
    <row r="337" spans="1:8" x14ac:dyDescent="0.25">
      <c r="A337" s="105" t="s">
        <v>785</v>
      </c>
      <c r="B337" s="94" t="s">
        <v>395</v>
      </c>
      <c r="C337" s="95">
        <v>2022</v>
      </c>
      <c r="D337" s="96">
        <v>0.4</v>
      </c>
      <c r="E337" s="96"/>
      <c r="F337" s="97">
        <v>15</v>
      </c>
      <c r="G337" s="209">
        <v>25.422840000000001</v>
      </c>
      <c r="H337" s="147"/>
    </row>
    <row r="338" spans="1:8" x14ac:dyDescent="0.25">
      <c r="A338" s="105" t="s">
        <v>785</v>
      </c>
      <c r="B338" s="94" t="s">
        <v>395</v>
      </c>
      <c r="C338" s="95">
        <v>2022</v>
      </c>
      <c r="D338" s="96">
        <v>0.4</v>
      </c>
      <c r="E338" s="96"/>
      <c r="F338" s="97">
        <v>15</v>
      </c>
      <c r="G338" s="209">
        <v>25.422840000000001</v>
      </c>
      <c r="H338" s="147"/>
    </row>
    <row r="339" spans="1:8" x14ac:dyDescent="0.25">
      <c r="A339" s="105" t="s">
        <v>784</v>
      </c>
      <c r="B339" s="94" t="s">
        <v>119</v>
      </c>
      <c r="C339" s="95">
        <v>2022</v>
      </c>
      <c r="D339" s="96">
        <v>0.4</v>
      </c>
      <c r="E339" s="96"/>
      <c r="F339" s="97">
        <v>5</v>
      </c>
      <c r="G339" s="202">
        <v>12.016950000000001</v>
      </c>
      <c r="H339" s="147"/>
    </row>
    <row r="340" spans="1:8" x14ac:dyDescent="0.25">
      <c r="A340" s="105" t="s">
        <v>784</v>
      </c>
      <c r="B340" s="94" t="s">
        <v>119</v>
      </c>
      <c r="C340" s="95">
        <v>2022</v>
      </c>
      <c r="D340" s="96">
        <v>0.4</v>
      </c>
      <c r="E340" s="96"/>
      <c r="F340" s="97">
        <v>5</v>
      </c>
      <c r="G340" s="202">
        <v>11.26427</v>
      </c>
      <c r="H340" s="147"/>
    </row>
    <row r="341" spans="1:8" x14ac:dyDescent="0.25">
      <c r="A341" s="105" t="s">
        <v>784</v>
      </c>
      <c r="B341" s="94" t="s">
        <v>118</v>
      </c>
      <c r="C341" s="95">
        <v>2022</v>
      </c>
      <c r="D341" s="96">
        <v>0.4</v>
      </c>
      <c r="E341" s="96"/>
      <c r="F341" s="97">
        <v>5</v>
      </c>
      <c r="G341" s="202">
        <v>12.01445</v>
      </c>
      <c r="H341" s="147"/>
    </row>
    <row r="342" spans="1:8" x14ac:dyDescent="0.25">
      <c r="A342" s="105" t="s">
        <v>784</v>
      </c>
      <c r="B342" s="94" t="s">
        <v>117</v>
      </c>
      <c r="C342" s="95">
        <v>2022</v>
      </c>
      <c r="D342" s="96">
        <v>0.4</v>
      </c>
      <c r="E342" s="96"/>
      <c r="F342" s="97">
        <v>5</v>
      </c>
      <c r="G342" s="202">
        <v>12.01445</v>
      </c>
      <c r="H342" s="147"/>
    </row>
    <row r="343" spans="1:8" x14ac:dyDescent="0.25">
      <c r="A343" s="105" t="s">
        <v>784</v>
      </c>
      <c r="B343" s="94" t="s">
        <v>393</v>
      </c>
      <c r="C343" s="95">
        <v>2022</v>
      </c>
      <c r="D343" s="96">
        <v>0.4</v>
      </c>
      <c r="E343" s="96"/>
      <c r="F343" s="97">
        <v>2</v>
      </c>
      <c r="G343" s="202">
        <v>12.01445</v>
      </c>
      <c r="H343" s="147"/>
    </row>
    <row r="344" spans="1:8" x14ac:dyDescent="0.25">
      <c r="A344" s="105" t="s">
        <v>785</v>
      </c>
      <c r="B344" s="94" t="s">
        <v>116</v>
      </c>
      <c r="C344" s="95">
        <v>2022</v>
      </c>
      <c r="D344" s="96">
        <v>0.4</v>
      </c>
      <c r="E344" s="96"/>
      <c r="F344" s="97">
        <v>15</v>
      </c>
      <c r="G344" s="209">
        <v>28.521450000000002</v>
      </c>
      <c r="H344" s="147"/>
    </row>
    <row r="345" spans="1:8" x14ac:dyDescent="0.25">
      <c r="A345" s="105" t="s">
        <v>784</v>
      </c>
      <c r="B345" s="94" t="s">
        <v>391</v>
      </c>
      <c r="C345" s="95">
        <v>2022</v>
      </c>
      <c r="D345" s="96">
        <v>0.4</v>
      </c>
      <c r="E345" s="96"/>
      <c r="F345" s="97">
        <v>5</v>
      </c>
      <c r="G345" s="204">
        <v>29.522740000000002</v>
      </c>
      <c r="H345" s="147"/>
    </row>
    <row r="346" spans="1:8" x14ac:dyDescent="0.25">
      <c r="A346" s="105" t="s">
        <v>785</v>
      </c>
      <c r="B346" s="94" t="s">
        <v>570</v>
      </c>
      <c r="C346" s="95">
        <v>2022</v>
      </c>
      <c r="D346" s="96">
        <v>0.4</v>
      </c>
      <c r="E346" s="96"/>
      <c r="F346" s="97">
        <v>15</v>
      </c>
      <c r="G346" s="209">
        <v>23.396235000000001</v>
      </c>
      <c r="H346" s="147"/>
    </row>
    <row r="347" spans="1:8" x14ac:dyDescent="0.25">
      <c r="A347" s="105" t="s">
        <v>785</v>
      </c>
      <c r="B347" s="94" t="s">
        <v>115</v>
      </c>
      <c r="C347" s="95">
        <v>2022</v>
      </c>
      <c r="D347" s="96">
        <v>0.4</v>
      </c>
      <c r="E347" s="96"/>
      <c r="F347" s="97">
        <v>15</v>
      </c>
      <c r="G347" s="209">
        <v>23.396235000000001</v>
      </c>
      <c r="H347" s="147"/>
    </row>
    <row r="348" spans="1:8" x14ac:dyDescent="0.25">
      <c r="A348" s="105" t="s">
        <v>785</v>
      </c>
      <c r="B348" s="94" t="s">
        <v>114</v>
      </c>
      <c r="C348" s="95">
        <v>2022</v>
      </c>
      <c r="D348" s="96">
        <v>0.4</v>
      </c>
      <c r="E348" s="96"/>
      <c r="F348" s="97">
        <v>15</v>
      </c>
      <c r="G348" s="209">
        <v>25.19406</v>
      </c>
      <c r="H348" s="147"/>
    </row>
    <row r="349" spans="1:8" x14ac:dyDescent="0.25">
      <c r="A349" s="105" t="s">
        <v>785</v>
      </c>
      <c r="B349" s="94" t="s">
        <v>113</v>
      </c>
      <c r="C349" s="95">
        <v>2022</v>
      </c>
      <c r="D349" s="96">
        <v>0.4</v>
      </c>
      <c r="E349" s="96"/>
      <c r="F349" s="97">
        <v>15</v>
      </c>
      <c r="G349" s="209">
        <v>26.988</v>
      </c>
      <c r="H349" s="147"/>
    </row>
    <row r="350" spans="1:8" x14ac:dyDescent="0.25">
      <c r="A350" s="105" t="s">
        <v>785</v>
      </c>
      <c r="B350" s="94" t="s">
        <v>112</v>
      </c>
      <c r="C350" s="95">
        <v>2022</v>
      </c>
      <c r="D350" s="96">
        <v>0.4</v>
      </c>
      <c r="E350" s="96"/>
      <c r="F350" s="97">
        <v>15</v>
      </c>
      <c r="G350" s="209">
        <v>25.33764</v>
      </c>
      <c r="H350" s="147"/>
    </row>
    <row r="351" spans="1:8" x14ac:dyDescent="0.25">
      <c r="A351" s="105" t="s">
        <v>785</v>
      </c>
      <c r="B351" s="94" t="s">
        <v>569</v>
      </c>
      <c r="C351" s="95">
        <v>2022</v>
      </c>
      <c r="D351" s="96">
        <v>0.4</v>
      </c>
      <c r="E351" s="96"/>
      <c r="F351" s="97">
        <v>15</v>
      </c>
      <c r="G351" s="209">
        <v>30.170950000000001</v>
      </c>
      <c r="H351" s="147"/>
    </row>
    <row r="352" spans="1:8" x14ac:dyDescent="0.25">
      <c r="A352" s="105" t="s">
        <v>785</v>
      </c>
      <c r="B352" s="94" t="s">
        <v>569</v>
      </c>
      <c r="C352" s="95">
        <v>2022</v>
      </c>
      <c r="D352" s="96">
        <v>0.4</v>
      </c>
      <c r="E352" s="96"/>
      <c r="F352" s="97">
        <v>15</v>
      </c>
      <c r="G352" s="209">
        <v>30.170950000000001</v>
      </c>
      <c r="H352" s="147"/>
    </row>
    <row r="353" spans="1:8" x14ac:dyDescent="0.25">
      <c r="A353" s="105" t="s">
        <v>785</v>
      </c>
      <c r="B353" s="94" t="s">
        <v>111</v>
      </c>
      <c r="C353" s="95">
        <v>2022</v>
      </c>
      <c r="D353" s="96">
        <v>0.4</v>
      </c>
      <c r="E353" s="96"/>
      <c r="F353" s="97">
        <v>15</v>
      </c>
      <c r="G353" s="209">
        <v>25.28098</v>
      </c>
      <c r="H353" s="147"/>
    </row>
    <row r="354" spans="1:8" x14ac:dyDescent="0.25">
      <c r="A354" s="105" t="s">
        <v>785</v>
      </c>
      <c r="B354" s="94" t="s">
        <v>110</v>
      </c>
      <c r="C354" s="95">
        <v>2022</v>
      </c>
      <c r="D354" s="96">
        <v>0.4</v>
      </c>
      <c r="E354" s="96"/>
      <c r="F354" s="97">
        <v>15</v>
      </c>
      <c r="G354" s="209">
        <v>26.770820000000001</v>
      </c>
      <c r="H354" s="147"/>
    </row>
    <row r="355" spans="1:8" x14ac:dyDescent="0.25">
      <c r="A355" s="105" t="s">
        <v>785</v>
      </c>
      <c r="B355" s="94" t="s">
        <v>109</v>
      </c>
      <c r="C355" s="95">
        <v>2022</v>
      </c>
      <c r="D355" s="96">
        <v>0.4</v>
      </c>
      <c r="E355" s="96"/>
      <c r="F355" s="97">
        <v>15</v>
      </c>
      <c r="G355" s="209">
        <v>24.61083</v>
      </c>
      <c r="H355" s="147"/>
    </row>
    <row r="356" spans="1:8" x14ac:dyDescent="0.25">
      <c r="A356" s="105" t="s">
        <v>784</v>
      </c>
      <c r="B356" s="94" t="s">
        <v>394</v>
      </c>
      <c r="C356" s="95">
        <v>2022</v>
      </c>
      <c r="D356" s="96">
        <v>0.4</v>
      </c>
      <c r="E356" s="96"/>
      <c r="F356" s="97">
        <v>5</v>
      </c>
      <c r="G356" s="203">
        <v>29.522749999999998</v>
      </c>
      <c r="H356" s="147"/>
    </row>
    <row r="357" spans="1:8" x14ac:dyDescent="0.25">
      <c r="A357" s="105" t="s">
        <v>784</v>
      </c>
      <c r="B357" s="94" t="s">
        <v>568</v>
      </c>
      <c r="C357" s="95">
        <v>2022</v>
      </c>
      <c r="D357" s="96">
        <v>0.4</v>
      </c>
      <c r="E357" s="96"/>
      <c r="F357" s="97">
        <v>5</v>
      </c>
      <c r="G357" s="209">
        <v>13.447683333333334</v>
      </c>
      <c r="H357" s="147"/>
    </row>
    <row r="358" spans="1:8" x14ac:dyDescent="0.25">
      <c r="A358" s="105" t="s">
        <v>784</v>
      </c>
      <c r="B358" s="94" t="s">
        <v>568</v>
      </c>
      <c r="C358" s="95">
        <v>2022</v>
      </c>
      <c r="D358" s="96">
        <v>0.4</v>
      </c>
      <c r="E358" s="96"/>
      <c r="F358" s="97">
        <v>5</v>
      </c>
      <c r="G358" s="209">
        <v>13.447683333333334</v>
      </c>
      <c r="H358" s="147"/>
    </row>
    <row r="359" spans="1:8" x14ac:dyDescent="0.25">
      <c r="A359" s="105" t="s">
        <v>784</v>
      </c>
      <c r="B359" s="94" t="s">
        <v>568</v>
      </c>
      <c r="C359" s="95">
        <v>2022</v>
      </c>
      <c r="D359" s="96">
        <v>0.4</v>
      </c>
      <c r="E359" s="96"/>
      <c r="F359" s="97">
        <v>5</v>
      </c>
      <c r="G359" s="209">
        <v>13.447683333333334</v>
      </c>
      <c r="H359" s="147"/>
    </row>
    <row r="360" spans="1:8" x14ac:dyDescent="0.25">
      <c r="A360" s="105" t="s">
        <v>784</v>
      </c>
      <c r="B360" s="94" t="s">
        <v>568</v>
      </c>
      <c r="C360" s="95">
        <v>2022</v>
      </c>
      <c r="D360" s="96">
        <v>0.4</v>
      </c>
      <c r="E360" s="96"/>
      <c r="F360" s="97">
        <v>5</v>
      </c>
      <c r="G360" s="209">
        <v>13.447683333333334</v>
      </c>
      <c r="H360" s="147"/>
    </row>
    <row r="361" spans="1:8" x14ac:dyDescent="0.25">
      <c r="A361" s="105" t="s">
        <v>784</v>
      </c>
      <c r="B361" s="94" t="s">
        <v>568</v>
      </c>
      <c r="C361" s="95">
        <v>2022</v>
      </c>
      <c r="D361" s="96">
        <v>0.4</v>
      </c>
      <c r="E361" s="96"/>
      <c r="F361" s="97">
        <v>5</v>
      </c>
      <c r="G361" s="209">
        <v>13.447683333333334</v>
      </c>
      <c r="H361" s="147"/>
    </row>
    <row r="362" spans="1:8" x14ac:dyDescent="0.25">
      <c r="A362" s="105" t="s">
        <v>784</v>
      </c>
      <c r="B362" s="94" t="s">
        <v>568</v>
      </c>
      <c r="C362" s="95">
        <v>2022</v>
      </c>
      <c r="D362" s="96">
        <v>0.4</v>
      </c>
      <c r="E362" s="96"/>
      <c r="F362" s="97">
        <v>5</v>
      </c>
      <c r="G362" s="209">
        <v>13.447683333333334</v>
      </c>
      <c r="H362" s="147"/>
    </row>
    <row r="363" spans="1:8" x14ac:dyDescent="0.25">
      <c r="A363" s="105" t="s">
        <v>785</v>
      </c>
      <c r="B363" s="94" t="s">
        <v>108</v>
      </c>
      <c r="C363" s="95">
        <v>2022</v>
      </c>
      <c r="D363" s="96">
        <v>0.4</v>
      </c>
      <c r="E363" s="96"/>
      <c r="F363" s="97">
        <v>15</v>
      </c>
      <c r="G363" s="209">
        <v>25.379150000000003</v>
      </c>
      <c r="H363" s="147"/>
    </row>
    <row r="364" spans="1:8" x14ac:dyDescent="0.25">
      <c r="A364" s="105" t="s">
        <v>785</v>
      </c>
      <c r="B364" s="94" t="s">
        <v>107</v>
      </c>
      <c r="C364" s="95">
        <v>2022</v>
      </c>
      <c r="D364" s="96">
        <v>0.4</v>
      </c>
      <c r="E364" s="96"/>
      <c r="F364" s="97">
        <v>15</v>
      </c>
      <c r="G364" s="209">
        <v>25.172249999999998</v>
      </c>
      <c r="H364" s="147"/>
    </row>
    <row r="365" spans="1:8" x14ac:dyDescent="0.25">
      <c r="A365" s="105" t="s">
        <v>785</v>
      </c>
      <c r="B365" s="94" t="s">
        <v>106</v>
      </c>
      <c r="C365" s="95">
        <v>2022</v>
      </c>
      <c r="D365" s="96">
        <v>0.4</v>
      </c>
      <c r="E365" s="96"/>
      <c r="F365" s="97">
        <v>15</v>
      </c>
      <c r="G365" s="209">
        <v>25.172249999999998</v>
      </c>
      <c r="H365" s="147"/>
    </row>
    <row r="366" spans="1:8" x14ac:dyDescent="0.25">
      <c r="A366" s="105" t="s">
        <v>785</v>
      </c>
      <c r="B366" s="94" t="s">
        <v>105</v>
      </c>
      <c r="C366" s="95">
        <v>2022</v>
      </c>
      <c r="D366" s="96">
        <v>0.4</v>
      </c>
      <c r="E366" s="96"/>
      <c r="F366" s="97">
        <v>15</v>
      </c>
      <c r="G366" s="209">
        <v>25.172249999999998</v>
      </c>
      <c r="H366" s="147"/>
    </row>
    <row r="367" spans="1:8" x14ac:dyDescent="0.25">
      <c r="A367" s="105" t="s">
        <v>785</v>
      </c>
      <c r="B367" s="94" t="s">
        <v>104</v>
      </c>
      <c r="C367" s="95">
        <v>2022</v>
      </c>
      <c r="D367" s="96">
        <v>0.4</v>
      </c>
      <c r="E367" s="96"/>
      <c r="F367" s="97">
        <v>15</v>
      </c>
      <c r="G367" s="209">
        <v>25.172249999999998</v>
      </c>
      <c r="H367" s="147"/>
    </row>
    <row r="368" spans="1:8" x14ac:dyDescent="0.25">
      <c r="A368" s="105" t="s">
        <v>785</v>
      </c>
      <c r="B368" s="94" t="s">
        <v>103</v>
      </c>
      <c r="C368" s="95">
        <v>2022</v>
      </c>
      <c r="D368" s="96">
        <v>0.4</v>
      </c>
      <c r="E368" s="96"/>
      <c r="F368" s="97">
        <v>15</v>
      </c>
      <c r="G368" s="209">
        <v>24.27786</v>
      </c>
      <c r="H368" s="147"/>
    </row>
    <row r="369" spans="1:8" x14ac:dyDescent="0.25">
      <c r="A369" s="105" t="s">
        <v>785</v>
      </c>
      <c r="B369" s="94" t="s">
        <v>102</v>
      </c>
      <c r="C369" s="95">
        <v>2022</v>
      </c>
      <c r="D369" s="96">
        <v>0.4</v>
      </c>
      <c r="E369" s="96"/>
      <c r="F369" s="97">
        <v>15</v>
      </c>
      <c r="G369" s="209">
        <v>25.299509999999998</v>
      </c>
      <c r="H369" s="147"/>
    </row>
    <row r="370" spans="1:8" x14ac:dyDescent="0.25">
      <c r="A370" s="105" t="s">
        <v>785</v>
      </c>
      <c r="B370" s="94" t="s">
        <v>686</v>
      </c>
      <c r="C370" s="95">
        <v>2022</v>
      </c>
      <c r="D370" s="96">
        <v>0.4</v>
      </c>
      <c r="E370" s="96"/>
      <c r="F370" s="97">
        <v>8</v>
      </c>
      <c r="G370" s="209">
        <v>26.300830000000001</v>
      </c>
      <c r="H370" s="147"/>
    </row>
    <row r="371" spans="1:8" x14ac:dyDescent="0.25">
      <c r="A371" s="105" t="s">
        <v>785</v>
      </c>
      <c r="B371" s="94" t="s">
        <v>101</v>
      </c>
      <c r="C371" s="95">
        <v>2022</v>
      </c>
      <c r="D371" s="96">
        <v>0.4</v>
      </c>
      <c r="E371" s="96"/>
      <c r="F371" s="97">
        <v>15</v>
      </c>
      <c r="G371" s="209">
        <v>51.980499999999999</v>
      </c>
      <c r="H371" s="147"/>
    </row>
    <row r="372" spans="1:8" x14ac:dyDescent="0.25">
      <c r="A372" s="105" t="s">
        <v>785</v>
      </c>
      <c r="B372" s="94" t="s">
        <v>100</v>
      </c>
      <c r="C372" s="95">
        <v>2022</v>
      </c>
      <c r="D372" s="96">
        <v>0.4</v>
      </c>
      <c r="E372" s="96"/>
      <c r="F372" s="97">
        <v>15</v>
      </c>
      <c r="G372" s="209">
        <v>46.388800000000003</v>
      </c>
      <c r="H372" s="147"/>
    </row>
    <row r="373" spans="1:8" x14ac:dyDescent="0.25">
      <c r="A373" s="105" t="s">
        <v>785</v>
      </c>
      <c r="B373" s="94" t="s">
        <v>99</v>
      </c>
      <c r="C373" s="95">
        <v>2022</v>
      </c>
      <c r="D373" s="96">
        <v>0.4</v>
      </c>
      <c r="E373" s="96"/>
      <c r="F373" s="97">
        <v>15</v>
      </c>
      <c r="G373" s="209">
        <v>23.661440000000002</v>
      </c>
      <c r="H373" s="147"/>
    </row>
    <row r="374" spans="1:8" x14ac:dyDescent="0.25">
      <c r="A374" s="105" t="s">
        <v>785</v>
      </c>
      <c r="B374" s="94" t="s">
        <v>98</v>
      </c>
      <c r="C374" s="95">
        <v>2022</v>
      </c>
      <c r="D374" s="96">
        <v>0.4</v>
      </c>
      <c r="E374" s="96"/>
      <c r="F374" s="97">
        <v>15</v>
      </c>
      <c r="G374" s="209">
        <v>25.33765</v>
      </c>
      <c r="H374" s="147"/>
    </row>
    <row r="375" spans="1:8" x14ac:dyDescent="0.25">
      <c r="A375" s="105" t="s">
        <v>785</v>
      </c>
      <c r="B375" s="94" t="s">
        <v>97</v>
      </c>
      <c r="C375" s="95">
        <v>2022</v>
      </c>
      <c r="D375" s="96">
        <v>0.4</v>
      </c>
      <c r="E375" s="96"/>
      <c r="F375" s="97">
        <v>15</v>
      </c>
      <c r="G375" s="209">
        <v>25.33765</v>
      </c>
      <c r="H375" s="147"/>
    </row>
    <row r="376" spans="1:8" x14ac:dyDescent="0.25">
      <c r="A376" s="105" t="s">
        <v>785</v>
      </c>
      <c r="B376" s="94" t="s">
        <v>96</v>
      </c>
      <c r="C376" s="95">
        <v>2022</v>
      </c>
      <c r="D376" s="96">
        <v>0.4</v>
      </c>
      <c r="E376" s="96"/>
      <c r="F376" s="97">
        <v>15</v>
      </c>
      <c r="G376" s="209">
        <v>26.612779999999997</v>
      </c>
      <c r="H376" s="147"/>
    </row>
    <row r="377" spans="1:8" x14ac:dyDescent="0.25">
      <c r="A377" s="105" t="s">
        <v>784</v>
      </c>
      <c r="B377" s="94" t="s">
        <v>95</v>
      </c>
      <c r="C377" s="95">
        <v>2022</v>
      </c>
      <c r="D377" s="96">
        <v>0.4</v>
      </c>
      <c r="E377" s="96"/>
      <c r="F377" s="97">
        <v>5</v>
      </c>
      <c r="G377" s="202">
        <v>26.612779999999997</v>
      </c>
      <c r="H377" s="147"/>
    </row>
    <row r="378" spans="1:8" x14ac:dyDescent="0.25">
      <c r="A378" s="105" t="s">
        <v>785</v>
      </c>
      <c r="B378" s="94" t="s">
        <v>94</v>
      </c>
      <c r="C378" s="95">
        <v>2022</v>
      </c>
      <c r="D378" s="96">
        <v>0.4</v>
      </c>
      <c r="E378" s="96"/>
      <c r="F378" s="97">
        <v>15</v>
      </c>
      <c r="G378" s="209">
        <v>14.787780000000001</v>
      </c>
      <c r="H378" s="147"/>
    </row>
    <row r="379" spans="1:8" x14ac:dyDescent="0.25">
      <c r="A379" s="105" t="s">
        <v>784</v>
      </c>
      <c r="B379" s="94" t="s">
        <v>93</v>
      </c>
      <c r="C379" s="95">
        <v>2022</v>
      </c>
      <c r="D379" s="96">
        <v>0.4</v>
      </c>
      <c r="E379" s="96"/>
      <c r="F379" s="97">
        <v>5</v>
      </c>
      <c r="G379" s="202">
        <v>14.673440000000001</v>
      </c>
      <c r="H379" s="147"/>
    </row>
    <row r="380" spans="1:8" x14ac:dyDescent="0.25">
      <c r="A380" s="105" t="s">
        <v>785</v>
      </c>
      <c r="B380" s="94" t="s">
        <v>92</v>
      </c>
      <c r="C380" s="95">
        <v>2022</v>
      </c>
      <c r="D380" s="96">
        <v>0.4</v>
      </c>
      <c r="E380" s="96"/>
      <c r="F380" s="97">
        <v>15</v>
      </c>
      <c r="G380" s="209">
        <v>27.066490000000002</v>
      </c>
      <c r="H380" s="147"/>
    </row>
    <row r="381" spans="1:8" x14ac:dyDescent="0.25">
      <c r="A381" s="105" t="s">
        <v>785</v>
      </c>
      <c r="B381" s="94" t="s">
        <v>91</v>
      </c>
      <c r="C381" s="95">
        <v>2022</v>
      </c>
      <c r="D381" s="96">
        <v>0.4</v>
      </c>
      <c r="E381" s="96"/>
      <c r="F381" s="97">
        <v>15</v>
      </c>
      <c r="G381" s="209">
        <v>25.43534</v>
      </c>
      <c r="H381" s="147"/>
    </row>
    <row r="382" spans="1:8" x14ac:dyDescent="0.25">
      <c r="A382" s="105" t="s">
        <v>785</v>
      </c>
      <c r="B382" s="94" t="s">
        <v>90</v>
      </c>
      <c r="C382" s="95">
        <v>2022</v>
      </c>
      <c r="D382" s="96">
        <v>0.4</v>
      </c>
      <c r="E382" s="96"/>
      <c r="F382" s="97">
        <v>10</v>
      </c>
      <c r="G382" s="129">
        <v>28.255500000000001</v>
      </c>
      <c r="H382" s="147"/>
    </row>
    <row r="383" spans="1:8" x14ac:dyDescent="0.25">
      <c r="A383" s="105" t="s">
        <v>784</v>
      </c>
      <c r="B383" s="94" t="s">
        <v>89</v>
      </c>
      <c r="C383" s="95">
        <v>2022</v>
      </c>
      <c r="D383" s="96">
        <v>0.4</v>
      </c>
      <c r="E383" s="96"/>
      <c r="F383" s="97">
        <v>5</v>
      </c>
      <c r="G383" s="202">
        <v>13.152379999999999</v>
      </c>
      <c r="H383" s="147"/>
    </row>
    <row r="384" spans="1:8" x14ac:dyDescent="0.25">
      <c r="A384" s="105" t="s">
        <v>784</v>
      </c>
      <c r="B384" s="94" t="s">
        <v>689</v>
      </c>
      <c r="C384" s="95">
        <v>2022</v>
      </c>
      <c r="D384" s="96">
        <v>0.4</v>
      </c>
      <c r="E384" s="96"/>
      <c r="F384" s="97">
        <v>5</v>
      </c>
      <c r="G384" s="202">
        <v>14.48039</v>
      </c>
      <c r="H384" s="147"/>
    </row>
    <row r="385" spans="1:8" x14ac:dyDescent="0.25">
      <c r="A385" s="105" t="s">
        <v>784</v>
      </c>
      <c r="B385" s="94" t="s">
        <v>689</v>
      </c>
      <c r="C385" s="95">
        <v>2022</v>
      </c>
      <c r="D385" s="96">
        <v>0.4</v>
      </c>
      <c r="E385" s="96"/>
      <c r="F385" s="97">
        <v>5</v>
      </c>
      <c r="G385" s="202">
        <v>14.480399999999999</v>
      </c>
      <c r="H385" s="147"/>
    </row>
    <row r="386" spans="1:8" x14ac:dyDescent="0.25">
      <c r="A386" s="105" t="s">
        <v>784</v>
      </c>
      <c r="B386" s="94" t="s">
        <v>689</v>
      </c>
      <c r="C386" s="95">
        <v>2022</v>
      </c>
      <c r="D386" s="96">
        <v>0.4</v>
      </c>
      <c r="E386" s="96"/>
      <c r="F386" s="97">
        <v>5</v>
      </c>
      <c r="G386" s="202">
        <v>14.48039</v>
      </c>
      <c r="H386" s="147"/>
    </row>
    <row r="387" spans="1:8" x14ac:dyDescent="0.25">
      <c r="A387" s="105" t="s">
        <v>784</v>
      </c>
      <c r="B387" s="94" t="s">
        <v>689</v>
      </c>
      <c r="C387" s="95">
        <v>2022</v>
      </c>
      <c r="D387" s="96">
        <v>0.4</v>
      </c>
      <c r="E387" s="96"/>
      <c r="F387" s="97">
        <v>5</v>
      </c>
      <c r="G387" s="202">
        <v>13.949549999999999</v>
      </c>
      <c r="H387" s="147"/>
    </row>
    <row r="388" spans="1:8" x14ac:dyDescent="0.25">
      <c r="A388" s="105" t="s">
        <v>784</v>
      </c>
      <c r="B388" s="94" t="s">
        <v>689</v>
      </c>
      <c r="C388" s="95">
        <v>2022</v>
      </c>
      <c r="D388" s="96">
        <v>0.4</v>
      </c>
      <c r="E388" s="96"/>
      <c r="F388" s="97">
        <v>5</v>
      </c>
      <c r="G388" s="202">
        <v>13.97955</v>
      </c>
      <c r="H388" s="147"/>
    </row>
    <row r="389" spans="1:8" x14ac:dyDescent="0.25">
      <c r="A389" s="105" t="s">
        <v>784</v>
      </c>
      <c r="B389" s="94" t="s">
        <v>689</v>
      </c>
      <c r="C389" s="95">
        <v>2022</v>
      </c>
      <c r="D389" s="96">
        <v>0.4</v>
      </c>
      <c r="E389" s="96"/>
      <c r="F389" s="97">
        <v>5</v>
      </c>
      <c r="G389" s="202">
        <v>14.061219999999999</v>
      </c>
      <c r="H389" s="147"/>
    </row>
    <row r="390" spans="1:8" x14ac:dyDescent="0.25">
      <c r="A390" s="105" t="s">
        <v>784</v>
      </c>
      <c r="B390" s="94" t="s">
        <v>689</v>
      </c>
      <c r="C390" s="95">
        <v>2022</v>
      </c>
      <c r="D390" s="96">
        <v>0.4</v>
      </c>
      <c r="E390" s="96"/>
      <c r="F390" s="97">
        <v>5</v>
      </c>
      <c r="G390" s="202">
        <v>14.29622</v>
      </c>
      <c r="H390" s="147"/>
    </row>
    <row r="391" spans="1:8" x14ac:dyDescent="0.25">
      <c r="A391" s="105" t="s">
        <v>784</v>
      </c>
      <c r="B391" s="94" t="s">
        <v>689</v>
      </c>
      <c r="C391" s="95">
        <v>2022</v>
      </c>
      <c r="D391" s="96">
        <v>0.4</v>
      </c>
      <c r="E391" s="96"/>
      <c r="F391" s="97">
        <v>5</v>
      </c>
      <c r="G391" s="202">
        <v>14.3904</v>
      </c>
      <c r="H391" s="147"/>
    </row>
    <row r="392" spans="1:8" x14ac:dyDescent="0.25">
      <c r="A392" s="105" t="s">
        <v>784</v>
      </c>
      <c r="B392" s="94" t="s">
        <v>689</v>
      </c>
      <c r="C392" s="95">
        <v>2022</v>
      </c>
      <c r="D392" s="96">
        <v>0.4</v>
      </c>
      <c r="E392" s="96"/>
      <c r="F392" s="97">
        <v>5</v>
      </c>
      <c r="G392" s="202">
        <v>14.337899999999999</v>
      </c>
      <c r="H392" s="147"/>
    </row>
    <row r="393" spans="1:8" x14ac:dyDescent="0.25">
      <c r="A393" s="105" t="s">
        <v>784</v>
      </c>
      <c r="B393" s="94" t="s">
        <v>88</v>
      </c>
      <c r="C393" s="95">
        <v>2022</v>
      </c>
      <c r="D393" s="96">
        <v>0.4</v>
      </c>
      <c r="E393" s="96"/>
      <c r="F393" s="97">
        <v>5</v>
      </c>
      <c r="G393" s="202">
        <v>12.83817</v>
      </c>
      <c r="H393" s="147"/>
    </row>
    <row r="394" spans="1:8" x14ac:dyDescent="0.25">
      <c r="A394" s="105" t="s">
        <v>785</v>
      </c>
      <c r="B394" s="94" t="s">
        <v>87</v>
      </c>
      <c r="C394" s="95">
        <v>2022</v>
      </c>
      <c r="D394" s="96">
        <v>0.4</v>
      </c>
      <c r="E394" s="96"/>
      <c r="F394" s="97">
        <v>15</v>
      </c>
      <c r="G394" s="209">
        <v>46.779660000000007</v>
      </c>
      <c r="H394" s="147"/>
    </row>
    <row r="395" spans="1:8" x14ac:dyDescent="0.25">
      <c r="A395" s="105" t="s">
        <v>784</v>
      </c>
      <c r="B395" s="94" t="s">
        <v>63</v>
      </c>
      <c r="C395" s="95">
        <v>2022</v>
      </c>
      <c r="D395" s="96">
        <v>0.4</v>
      </c>
      <c r="E395" s="96"/>
      <c r="F395" s="97">
        <v>5</v>
      </c>
      <c r="G395" s="202">
        <v>13.05903</v>
      </c>
      <c r="H395" s="147"/>
    </row>
    <row r="396" spans="1:8" x14ac:dyDescent="0.25">
      <c r="A396" s="105" t="s">
        <v>785</v>
      </c>
      <c r="B396" s="94" t="s">
        <v>86</v>
      </c>
      <c r="C396" s="95">
        <v>2022</v>
      </c>
      <c r="D396" s="96">
        <v>0.4</v>
      </c>
      <c r="E396" s="96"/>
      <c r="F396" s="97">
        <v>15</v>
      </c>
      <c r="G396" s="209">
        <v>25.59965</v>
      </c>
      <c r="H396" s="147"/>
    </row>
    <row r="397" spans="1:8" x14ac:dyDescent="0.25">
      <c r="A397" s="105" t="s">
        <v>785</v>
      </c>
      <c r="B397" s="94" t="s">
        <v>85</v>
      </c>
      <c r="C397" s="95">
        <v>2022</v>
      </c>
      <c r="D397" s="96">
        <v>0.4</v>
      </c>
      <c r="E397" s="96"/>
      <c r="F397" s="97">
        <v>15</v>
      </c>
      <c r="G397" s="209">
        <v>25.728660000000001</v>
      </c>
      <c r="H397" s="147"/>
    </row>
    <row r="398" spans="1:8" x14ac:dyDescent="0.25">
      <c r="A398" s="105" t="s">
        <v>785</v>
      </c>
      <c r="B398" s="94" t="s">
        <v>84</v>
      </c>
      <c r="C398" s="95">
        <v>2022</v>
      </c>
      <c r="D398" s="96">
        <v>0.4</v>
      </c>
      <c r="E398" s="96"/>
      <c r="F398" s="97">
        <v>15</v>
      </c>
      <c r="G398" s="209">
        <v>25.367650000000001</v>
      </c>
      <c r="H398" s="147"/>
    </row>
    <row r="399" spans="1:8" x14ac:dyDescent="0.25">
      <c r="A399" s="105" t="s">
        <v>785</v>
      </c>
      <c r="B399" s="94" t="s">
        <v>83</v>
      </c>
      <c r="C399" s="95">
        <v>2022</v>
      </c>
      <c r="D399" s="96">
        <v>0.4</v>
      </c>
      <c r="E399" s="96"/>
      <c r="F399" s="97">
        <v>15</v>
      </c>
      <c r="G399" s="209">
        <v>49.015500000000003</v>
      </c>
      <c r="H399" s="147"/>
    </row>
    <row r="400" spans="1:8" x14ac:dyDescent="0.25">
      <c r="A400" s="105" t="s">
        <v>785</v>
      </c>
      <c r="B400" s="94" t="s">
        <v>82</v>
      </c>
      <c r="C400" s="95">
        <v>2022</v>
      </c>
      <c r="D400" s="96">
        <v>0.4</v>
      </c>
      <c r="E400" s="96"/>
      <c r="F400" s="97">
        <v>15</v>
      </c>
      <c r="G400" s="209">
        <v>25.59967</v>
      </c>
      <c r="H400" s="147"/>
    </row>
    <row r="401" spans="1:8" x14ac:dyDescent="0.25">
      <c r="A401" s="105" t="s">
        <v>785</v>
      </c>
      <c r="B401" s="94" t="s">
        <v>81</v>
      </c>
      <c r="C401" s="95">
        <v>2022</v>
      </c>
      <c r="D401" s="96">
        <v>0.4</v>
      </c>
      <c r="E401" s="96"/>
      <c r="F401" s="97">
        <v>15</v>
      </c>
      <c r="G401" s="209">
        <v>25.36431</v>
      </c>
      <c r="H401" s="147"/>
    </row>
    <row r="402" spans="1:8" x14ac:dyDescent="0.25">
      <c r="A402" s="105" t="s">
        <v>784</v>
      </c>
      <c r="B402" s="94" t="s">
        <v>80</v>
      </c>
      <c r="C402" s="95">
        <v>2022</v>
      </c>
      <c r="D402" s="96">
        <v>0.4</v>
      </c>
      <c r="E402" s="96"/>
      <c r="F402" s="97">
        <v>5</v>
      </c>
      <c r="G402" s="202">
        <v>13.093209999999999</v>
      </c>
      <c r="H402" s="147"/>
    </row>
    <row r="403" spans="1:8" x14ac:dyDescent="0.25">
      <c r="A403" s="105" t="s">
        <v>784</v>
      </c>
      <c r="B403" s="110" t="s">
        <v>89</v>
      </c>
      <c r="C403" s="95">
        <v>2022</v>
      </c>
      <c r="D403" s="96">
        <v>0.4</v>
      </c>
      <c r="E403" s="96"/>
      <c r="F403" s="111">
        <v>5</v>
      </c>
      <c r="G403" s="204">
        <v>13.313600000000001</v>
      </c>
      <c r="H403" s="147"/>
    </row>
    <row r="404" spans="1:8" x14ac:dyDescent="0.25">
      <c r="A404" s="105" t="s">
        <v>785</v>
      </c>
      <c r="B404" s="94" t="s">
        <v>79</v>
      </c>
      <c r="C404" s="95">
        <v>2022</v>
      </c>
      <c r="D404" s="96">
        <v>0.4</v>
      </c>
      <c r="E404" s="96"/>
      <c r="F404" s="97">
        <v>15</v>
      </c>
      <c r="G404" s="209">
        <v>25.33766</v>
      </c>
      <c r="H404" s="147"/>
    </row>
    <row r="405" spans="1:8" x14ac:dyDescent="0.25">
      <c r="A405" s="105" t="s">
        <v>784</v>
      </c>
      <c r="B405" s="94" t="s">
        <v>78</v>
      </c>
      <c r="C405" s="95">
        <v>2022</v>
      </c>
      <c r="D405" s="96">
        <v>0.4</v>
      </c>
      <c r="E405" s="96"/>
      <c r="F405" s="97">
        <v>5</v>
      </c>
      <c r="G405" s="202">
        <v>15.743</v>
      </c>
      <c r="H405" s="147"/>
    </row>
    <row r="406" spans="1:8" x14ac:dyDescent="0.25">
      <c r="A406" s="105" t="s">
        <v>785</v>
      </c>
      <c r="B406" s="94" t="s">
        <v>77</v>
      </c>
      <c r="C406" s="95">
        <v>2022</v>
      </c>
      <c r="D406" s="96">
        <v>0.4</v>
      </c>
      <c r="E406" s="96"/>
      <c r="F406" s="97">
        <v>15</v>
      </c>
      <c r="G406" s="209">
        <v>46.479669999999999</v>
      </c>
      <c r="H406" s="147"/>
    </row>
    <row r="407" spans="1:8" x14ac:dyDescent="0.25">
      <c r="A407" s="105" t="s">
        <v>785</v>
      </c>
      <c r="B407" s="94" t="s">
        <v>76</v>
      </c>
      <c r="C407" s="95">
        <v>2022</v>
      </c>
      <c r="D407" s="96">
        <v>0.4</v>
      </c>
      <c r="E407" s="96"/>
      <c r="F407" s="97">
        <v>15</v>
      </c>
      <c r="G407" s="209">
        <v>25.16667</v>
      </c>
      <c r="H407" s="147"/>
    </row>
    <row r="408" spans="1:8" x14ac:dyDescent="0.25">
      <c r="A408" s="105" t="s">
        <v>785</v>
      </c>
      <c r="B408" s="94" t="s">
        <v>75</v>
      </c>
      <c r="C408" s="95">
        <v>2022</v>
      </c>
      <c r="D408" s="96">
        <v>0.4</v>
      </c>
      <c r="E408" s="96"/>
      <c r="F408" s="97">
        <v>15</v>
      </c>
      <c r="G408" s="209">
        <v>25.36431</v>
      </c>
      <c r="H408" s="147"/>
    </row>
    <row r="409" spans="1:8" x14ac:dyDescent="0.25">
      <c r="A409" s="105" t="s">
        <v>784</v>
      </c>
      <c r="B409" s="94" t="s">
        <v>74</v>
      </c>
      <c r="C409" s="95">
        <v>2022</v>
      </c>
      <c r="D409" s="96">
        <v>0.4</v>
      </c>
      <c r="E409" s="96"/>
      <c r="F409" s="97">
        <v>6</v>
      </c>
      <c r="G409" s="202">
        <v>27.326490000000003</v>
      </c>
      <c r="H409" s="147"/>
    </row>
    <row r="410" spans="1:8" x14ac:dyDescent="0.25">
      <c r="A410" s="105" t="s">
        <v>784</v>
      </c>
      <c r="B410" s="94" t="s">
        <v>73</v>
      </c>
      <c r="C410" s="95">
        <v>2022</v>
      </c>
      <c r="D410" s="96">
        <v>0.4</v>
      </c>
      <c r="E410" s="96"/>
      <c r="F410" s="97">
        <v>5</v>
      </c>
      <c r="G410" s="202">
        <v>12.868589999999999</v>
      </c>
      <c r="H410" s="147"/>
    </row>
    <row r="411" spans="1:8" x14ac:dyDescent="0.25">
      <c r="A411" s="105" t="s">
        <v>785</v>
      </c>
      <c r="B411" s="94" t="s">
        <v>72</v>
      </c>
      <c r="C411" s="95">
        <v>2022</v>
      </c>
      <c r="D411" s="96">
        <v>0.4</v>
      </c>
      <c r="E411" s="96"/>
      <c r="F411" s="97">
        <v>15</v>
      </c>
      <c r="G411" s="209">
        <v>25.45298</v>
      </c>
      <c r="H411" s="147"/>
    </row>
    <row r="412" spans="1:8" x14ac:dyDescent="0.25">
      <c r="A412" s="105" t="s">
        <v>784</v>
      </c>
      <c r="B412" s="94" t="s">
        <v>71</v>
      </c>
      <c r="C412" s="95">
        <v>2022</v>
      </c>
      <c r="D412" s="96">
        <v>0.4</v>
      </c>
      <c r="E412" s="96"/>
      <c r="F412" s="97">
        <v>5</v>
      </c>
      <c r="G412" s="202">
        <v>13.21067</v>
      </c>
      <c r="H412" s="147"/>
    </row>
    <row r="413" spans="1:8" x14ac:dyDescent="0.25">
      <c r="A413" s="105" t="s">
        <v>784</v>
      </c>
      <c r="B413" s="94" t="s">
        <v>70</v>
      </c>
      <c r="C413" s="95">
        <v>2022</v>
      </c>
      <c r="D413" s="96">
        <v>0.4</v>
      </c>
      <c r="E413" s="96"/>
      <c r="F413" s="97">
        <v>5</v>
      </c>
      <c r="G413" s="202">
        <v>13.10492</v>
      </c>
      <c r="H413" s="147"/>
    </row>
    <row r="414" spans="1:8" x14ac:dyDescent="0.25">
      <c r="A414" s="105" t="s">
        <v>784</v>
      </c>
      <c r="B414" s="94" t="s">
        <v>69</v>
      </c>
      <c r="C414" s="95">
        <v>2022</v>
      </c>
      <c r="D414" s="96">
        <v>0.4</v>
      </c>
      <c r="E414" s="96"/>
      <c r="F414" s="97">
        <v>5</v>
      </c>
      <c r="G414" s="202">
        <v>30.546529999999997</v>
      </c>
      <c r="H414" s="147"/>
    </row>
    <row r="415" spans="1:8" x14ac:dyDescent="0.25">
      <c r="A415" s="105" t="s">
        <v>784</v>
      </c>
      <c r="B415" s="94" t="s">
        <v>68</v>
      </c>
      <c r="C415" s="95">
        <v>2022</v>
      </c>
      <c r="D415" s="96">
        <v>0.4</v>
      </c>
      <c r="E415" s="96"/>
      <c r="F415" s="97">
        <v>5</v>
      </c>
      <c r="G415" s="202">
        <v>15.51618</v>
      </c>
      <c r="H415" s="147"/>
    </row>
    <row r="416" spans="1:8" x14ac:dyDescent="0.25">
      <c r="A416" s="105" t="s">
        <v>785</v>
      </c>
      <c r="B416" s="94" t="s">
        <v>67</v>
      </c>
      <c r="C416" s="95">
        <v>2022</v>
      </c>
      <c r="D416" s="96">
        <v>0.4</v>
      </c>
      <c r="E416" s="96"/>
      <c r="F416" s="97">
        <v>15</v>
      </c>
      <c r="G416" s="209">
        <v>25.44951</v>
      </c>
      <c r="H416" s="147"/>
    </row>
    <row r="417" spans="1:8" x14ac:dyDescent="0.25">
      <c r="A417" s="105" t="s">
        <v>785</v>
      </c>
      <c r="B417" s="94" t="s">
        <v>690</v>
      </c>
      <c r="C417" s="95">
        <v>2022</v>
      </c>
      <c r="D417" s="96">
        <v>0.4</v>
      </c>
      <c r="E417" s="96"/>
      <c r="F417" s="97">
        <v>10</v>
      </c>
      <c r="G417" s="209">
        <v>25.16667</v>
      </c>
      <c r="H417" s="147"/>
    </row>
    <row r="418" spans="1:8" x14ac:dyDescent="0.25">
      <c r="A418" s="105" t="s">
        <v>785</v>
      </c>
      <c r="B418" s="94" t="s">
        <v>691</v>
      </c>
      <c r="C418" s="95">
        <v>2022</v>
      </c>
      <c r="D418" s="96">
        <v>0.4</v>
      </c>
      <c r="E418" s="96"/>
      <c r="F418" s="97">
        <v>15</v>
      </c>
      <c r="G418" s="209">
        <v>25.422849999999997</v>
      </c>
      <c r="H418" s="147"/>
    </row>
    <row r="419" spans="1:8" x14ac:dyDescent="0.25">
      <c r="A419" s="105" t="s">
        <v>785</v>
      </c>
      <c r="B419" s="94" t="s">
        <v>66</v>
      </c>
      <c r="C419" s="95">
        <v>2022</v>
      </c>
      <c r="D419" s="96">
        <v>0.4</v>
      </c>
      <c r="E419" s="96"/>
      <c r="F419" s="97">
        <v>15</v>
      </c>
      <c r="G419" s="209">
        <v>27.188980000000001</v>
      </c>
      <c r="H419" s="147"/>
    </row>
    <row r="420" spans="1:8" x14ac:dyDescent="0.25">
      <c r="A420" s="105" t="s">
        <v>785</v>
      </c>
      <c r="B420" s="94" t="s">
        <v>65</v>
      </c>
      <c r="C420" s="95">
        <v>2022</v>
      </c>
      <c r="D420" s="96">
        <v>0.4</v>
      </c>
      <c r="E420" s="96"/>
      <c r="F420" s="97">
        <v>15</v>
      </c>
      <c r="G420" s="209">
        <v>27.326490000000003</v>
      </c>
      <c r="H420" s="147"/>
    </row>
    <row r="421" spans="1:8" x14ac:dyDescent="0.25">
      <c r="A421" s="105" t="s">
        <v>785</v>
      </c>
      <c r="B421" s="94" t="s">
        <v>692</v>
      </c>
      <c r="C421" s="95">
        <v>2022</v>
      </c>
      <c r="D421" s="96">
        <v>0.4</v>
      </c>
      <c r="E421" s="96"/>
      <c r="F421" s="97">
        <v>15</v>
      </c>
      <c r="G421" s="209">
        <v>28.647389999999998</v>
      </c>
      <c r="H421" s="147"/>
    </row>
    <row r="422" spans="1:8" x14ac:dyDescent="0.25">
      <c r="A422" s="105" t="s">
        <v>785</v>
      </c>
      <c r="B422" s="94" t="s">
        <v>64</v>
      </c>
      <c r="C422" s="95">
        <v>2022</v>
      </c>
      <c r="D422" s="96">
        <v>0.4</v>
      </c>
      <c r="E422" s="96"/>
      <c r="F422" s="97">
        <v>15</v>
      </c>
      <c r="G422" s="209">
        <v>25.513330000000003</v>
      </c>
      <c r="H422" s="147"/>
    </row>
    <row r="423" spans="1:8" x14ac:dyDescent="0.25">
      <c r="A423" s="105" t="s">
        <v>784</v>
      </c>
      <c r="B423" s="94" t="s">
        <v>63</v>
      </c>
      <c r="C423" s="95">
        <v>2022</v>
      </c>
      <c r="D423" s="96">
        <v>0.4</v>
      </c>
      <c r="E423" s="96"/>
      <c r="F423" s="97">
        <v>5</v>
      </c>
      <c r="G423" s="202">
        <v>10.722049999999999</v>
      </c>
      <c r="H423" s="147"/>
    </row>
    <row r="424" spans="1:8" x14ac:dyDescent="0.25">
      <c r="A424" s="105" t="s">
        <v>785</v>
      </c>
      <c r="B424" s="94" t="s">
        <v>62</v>
      </c>
      <c r="C424" s="95">
        <v>2022</v>
      </c>
      <c r="D424" s="96">
        <v>0.4</v>
      </c>
      <c r="E424" s="96"/>
      <c r="F424" s="97">
        <v>15</v>
      </c>
      <c r="G424" s="209">
        <v>25.28098</v>
      </c>
      <c r="H424" s="147"/>
    </row>
    <row r="425" spans="1:8" x14ac:dyDescent="0.25">
      <c r="A425" s="105" t="s">
        <v>784</v>
      </c>
      <c r="B425" s="94" t="s">
        <v>693</v>
      </c>
      <c r="C425" s="95">
        <v>2022</v>
      </c>
      <c r="D425" s="96">
        <v>0.4</v>
      </c>
      <c r="E425" s="96"/>
      <c r="F425" s="97">
        <v>5</v>
      </c>
      <c r="G425" s="202">
        <v>12.8065</v>
      </c>
      <c r="H425" s="147"/>
    </row>
    <row r="426" spans="1:8" x14ac:dyDescent="0.25">
      <c r="A426" s="105" t="s">
        <v>785</v>
      </c>
      <c r="B426" s="94" t="s">
        <v>61</v>
      </c>
      <c r="C426" s="95">
        <v>2022</v>
      </c>
      <c r="D426" s="96">
        <v>0.4</v>
      </c>
      <c r="E426" s="96"/>
      <c r="F426" s="97">
        <v>15</v>
      </c>
      <c r="G426" s="209">
        <v>27.542369999999998</v>
      </c>
      <c r="H426" s="147"/>
    </row>
    <row r="427" spans="1:8" x14ac:dyDescent="0.25">
      <c r="A427" s="105" t="s">
        <v>784</v>
      </c>
      <c r="B427" s="94" t="s">
        <v>60</v>
      </c>
      <c r="C427" s="95">
        <v>2022</v>
      </c>
      <c r="D427" s="96">
        <v>0.4</v>
      </c>
      <c r="E427" s="96"/>
      <c r="F427" s="97">
        <v>5</v>
      </c>
      <c r="G427" s="202">
        <v>27.326490000000003</v>
      </c>
      <c r="H427" s="147"/>
    </row>
    <row r="428" spans="1:8" x14ac:dyDescent="0.25">
      <c r="A428" s="105" t="s">
        <v>785</v>
      </c>
      <c r="B428" s="94" t="s">
        <v>60</v>
      </c>
      <c r="C428" s="95">
        <v>2022</v>
      </c>
      <c r="D428" s="96">
        <v>0.4</v>
      </c>
      <c r="E428" s="96"/>
      <c r="F428" s="97">
        <v>15</v>
      </c>
      <c r="G428" s="209">
        <v>25.7912</v>
      </c>
      <c r="H428" s="147"/>
    </row>
    <row r="429" spans="1:8" x14ac:dyDescent="0.25">
      <c r="A429" s="105" t="s">
        <v>784</v>
      </c>
      <c r="B429" s="94" t="s">
        <v>59</v>
      </c>
      <c r="C429" s="95">
        <v>2022</v>
      </c>
      <c r="D429" s="96">
        <v>0.4</v>
      </c>
      <c r="E429" s="96"/>
      <c r="F429" s="97">
        <v>5</v>
      </c>
      <c r="G429" s="202">
        <v>13.154860000000001</v>
      </c>
      <c r="H429" s="147"/>
    </row>
    <row r="430" spans="1:8" x14ac:dyDescent="0.25">
      <c r="A430" s="105" t="s">
        <v>784</v>
      </c>
      <c r="B430" s="94" t="s">
        <v>394</v>
      </c>
      <c r="C430" s="95">
        <v>2022</v>
      </c>
      <c r="D430" s="96">
        <v>0.4</v>
      </c>
      <c r="E430" s="96"/>
      <c r="F430" s="97">
        <v>5</v>
      </c>
      <c r="G430" s="202">
        <v>13.386799999999999</v>
      </c>
      <c r="H430" s="147"/>
    </row>
    <row r="431" spans="1:8" x14ac:dyDescent="0.25">
      <c r="A431" s="105" t="s">
        <v>785</v>
      </c>
      <c r="B431" s="94" t="s">
        <v>58</v>
      </c>
      <c r="C431" s="95">
        <v>2022</v>
      </c>
      <c r="D431" s="96">
        <v>0.4</v>
      </c>
      <c r="E431" s="96"/>
      <c r="F431" s="97">
        <v>15</v>
      </c>
      <c r="G431" s="209">
        <v>25.422840000000001</v>
      </c>
      <c r="H431" s="147"/>
    </row>
    <row r="432" spans="1:8" x14ac:dyDescent="0.25">
      <c r="A432" s="105" t="s">
        <v>785</v>
      </c>
      <c r="B432" s="94" t="s">
        <v>57</v>
      </c>
      <c r="C432" s="95">
        <v>2022</v>
      </c>
      <c r="D432" s="96">
        <v>0.4</v>
      </c>
      <c r="E432" s="96"/>
      <c r="F432" s="97">
        <v>15</v>
      </c>
      <c r="G432" s="209">
        <v>27.926179999999999</v>
      </c>
      <c r="H432" s="147"/>
    </row>
    <row r="433" spans="1:8" x14ac:dyDescent="0.25">
      <c r="A433" s="105" t="s">
        <v>785</v>
      </c>
      <c r="B433" s="94" t="s">
        <v>115</v>
      </c>
      <c r="C433" s="95">
        <v>2022</v>
      </c>
      <c r="D433" s="96">
        <v>0.4</v>
      </c>
      <c r="E433" s="96"/>
      <c r="F433" s="97">
        <v>15</v>
      </c>
      <c r="G433" s="209">
        <v>25.602509999999999</v>
      </c>
      <c r="H433" s="147"/>
    </row>
    <row r="434" spans="1:8" x14ac:dyDescent="0.25">
      <c r="A434" s="105" t="s">
        <v>785</v>
      </c>
      <c r="B434" s="94" t="s">
        <v>56</v>
      </c>
      <c r="C434" s="95">
        <v>2022</v>
      </c>
      <c r="D434" s="96">
        <v>0.4</v>
      </c>
      <c r="E434" s="96"/>
      <c r="F434" s="97">
        <v>15</v>
      </c>
      <c r="G434" s="209">
        <v>46.479669999999999</v>
      </c>
      <c r="H434" s="147"/>
    </row>
    <row r="435" spans="1:8" x14ac:dyDescent="0.25">
      <c r="A435" s="105" t="s">
        <v>785</v>
      </c>
      <c r="B435" s="94" t="s">
        <v>55</v>
      </c>
      <c r="C435" s="95">
        <v>2022</v>
      </c>
      <c r="D435" s="96">
        <v>0.4</v>
      </c>
      <c r="E435" s="96"/>
      <c r="F435" s="97">
        <v>15</v>
      </c>
      <c r="G435" s="209">
        <v>25.489509999999999</v>
      </c>
      <c r="H435" s="147"/>
    </row>
    <row r="436" spans="1:8" x14ac:dyDescent="0.25">
      <c r="A436" s="105" t="s">
        <v>784</v>
      </c>
      <c r="B436" s="94" t="s">
        <v>54</v>
      </c>
      <c r="C436" s="95">
        <v>2022</v>
      </c>
      <c r="D436" s="96">
        <v>0.4</v>
      </c>
      <c r="E436" s="96"/>
      <c r="F436" s="97">
        <v>5</v>
      </c>
      <c r="G436" s="202">
        <v>12.883599999999999</v>
      </c>
      <c r="H436" s="147"/>
    </row>
    <row r="437" spans="1:8" x14ac:dyDescent="0.25">
      <c r="A437" s="105" t="s">
        <v>785</v>
      </c>
      <c r="B437" s="94" t="s">
        <v>53</v>
      </c>
      <c r="C437" s="95">
        <v>2022</v>
      </c>
      <c r="D437" s="96">
        <v>0.4</v>
      </c>
      <c r="E437" s="96"/>
      <c r="F437" s="97">
        <v>15</v>
      </c>
      <c r="G437" s="209">
        <v>25.221810000000001</v>
      </c>
      <c r="H437" s="147"/>
    </row>
    <row r="438" spans="1:8" x14ac:dyDescent="0.25">
      <c r="A438" s="105" t="s">
        <v>785</v>
      </c>
      <c r="B438" s="94" t="s">
        <v>694</v>
      </c>
      <c r="C438" s="95">
        <v>2022</v>
      </c>
      <c r="D438" s="96">
        <v>0.4</v>
      </c>
      <c r="E438" s="96"/>
      <c r="F438" s="97">
        <v>15</v>
      </c>
      <c r="G438" s="209">
        <v>25.397849999999998</v>
      </c>
      <c r="H438" s="147"/>
    </row>
    <row r="439" spans="1:8" x14ac:dyDescent="0.25">
      <c r="A439" s="105" t="s">
        <v>785</v>
      </c>
      <c r="B439" s="94" t="s">
        <v>695</v>
      </c>
      <c r="C439" s="95">
        <v>2022</v>
      </c>
      <c r="D439" s="96">
        <v>0.4</v>
      </c>
      <c r="E439" s="96"/>
      <c r="F439" s="97">
        <v>15</v>
      </c>
      <c r="G439" s="209">
        <v>25.313549999999999</v>
      </c>
      <c r="H439" s="147"/>
    </row>
    <row r="440" spans="1:8" x14ac:dyDescent="0.25">
      <c r="A440" s="105" t="s">
        <v>785</v>
      </c>
      <c r="B440" s="94" t="s">
        <v>52</v>
      </c>
      <c r="C440" s="95">
        <v>2022</v>
      </c>
      <c r="D440" s="96">
        <v>0.4</v>
      </c>
      <c r="E440" s="96"/>
      <c r="F440" s="97">
        <v>15</v>
      </c>
      <c r="G440" s="209">
        <v>26.65014</v>
      </c>
      <c r="H440" s="147"/>
    </row>
    <row r="441" spans="1:8" x14ac:dyDescent="0.25">
      <c r="A441" s="105" t="s">
        <v>785</v>
      </c>
      <c r="B441" s="94" t="s">
        <v>696</v>
      </c>
      <c r="C441" s="95">
        <v>2022</v>
      </c>
      <c r="D441" s="96">
        <v>0.4</v>
      </c>
      <c r="E441" s="96"/>
      <c r="F441" s="97">
        <v>15</v>
      </c>
      <c r="G441" s="209">
        <v>14.702780000000001</v>
      </c>
      <c r="H441" s="147"/>
    </row>
    <row r="442" spans="1:8" x14ac:dyDescent="0.25">
      <c r="A442" s="105" t="s">
        <v>785</v>
      </c>
      <c r="B442" s="94" t="s">
        <v>690</v>
      </c>
      <c r="C442" s="95">
        <v>2022</v>
      </c>
      <c r="D442" s="96">
        <v>0.4</v>
      </c>
      <c r="E442" s="96"/>
      <c r="F442" s="97">
        <v>10</v>
      </c>
      <c r="G442" s="209">
        <v>25.029160000000001</v>
      </c>
      <c r="H442" s="147"/>
    </row>
    <row r="443" spans="1:8" x14ac:dyDescent="0.25">
      <c r="A443" s="105" t="s">
        <v>785</v>
      </c>
      <c r="B443" s="94" t="s">
        <v>51</v>
      </c>
      <c r="C443" s="95">
        <v>2022</v>
      </c>
      <c r="D443" s="96">
        <v>0.4</v>
      </c>
      <c r="E443" s="96"/>
      <c r="F443" s="97">
        <v>15</v>
      </c>
      <c r="G443" s="209">
        <v>25.818349999999999</v>
      </c>
      <c r="H443" s="147"/>
    </row>
    <row r="444" spans="1:8" x14ac:dyDescent="0.25">
      <c r="A444" s="105" t="s">
        <v>784</v>
      </c>
      <c r="B444" s="94" t="s">
        <v>50</v>
      </c>
      <c r="C444" s="95">
        <v>2022</v>
      </c>
      <c r="D444" s="96">
        <v>0.4</v>
      </c>
      <c r="E444" s="96"/>
      <c r="F444" s="97">
        <v>5</v>
      </c>
      <c r="G444" s="202">
        <v>15.82634</v>
      </c>
      <c r="H444" s="147"/>
    </row>
    <row r="445" spans="1:8" x14ac:dyDescent="0.25">
      <c r="A445" s="105" t="s">
        <v>785</v>
      </c>
      <c r="B445" s="94" t="s">
        <v>49</v>
      </c>
      <c r="C445" s="95">
        <v>2022</v>
      </c>
      <c r="D445" s="96">
        <v>0.4</v>
      </c>
      <c r="E445" s="96"/>
      <c r="F445" s="97">
        <v>15</v>
      </c>
      <c r="G445" s="209">
        <v>27.32648</v>
      </c>
      <c r="H445" s="147"/>
    </row>
    <row r="446" spans="1:8" x14ac:dyDescent="0.25">
      <c r="A446" s="105" t="s">
        <v>785</v>
      </c>
      <c r="B446" s="94" t="s">
        <v>572</v>
      </c>
      <c r="C446" s="95">
        <v>2022</v>
      </c>
      <c r="D446" s="96">
        <v>0.4</v>
      </c>
      <c r="E446" s="96"/>
      <c r="F446" s="97">
        <v>15</v>
      </c>
      <c r="G446" s="209">
        <v>25.50385</v>
      </c>
      <c r="H446" s="147"/>
    </row>
    <row r="447" spans="1:8" x14ac:dyDescent="0.25">
      <c r="A447" s="105" t="s">
        <v>785</v>
      </c>
      <c r="B447" s="94" t="s">
        <v>48</v>
      </c>
      <c r="C447" s="95">
        <v>2022</v>
      </c>
      <c r="D447" s="96">
        <v>0.4</v>
      </c>
      <c r="E447" s="96"/>
      <c r="F447" s="97">
        <v>15</v>
      </c>
      <c r="G447" s="209">
        <v>25.503820000000001</v>
      </c>
      <c r="H447" s="147"/>
    </row>
    <row r="448" spans="1:8" x14ac:dyDescent="0.25">
      <c r="A448" s="105" t="s">
        <v>784</v>
      </c>
      <c r="B448" s="94" t="s">
        <v>47</v>
      </c>
      <c r="C448" s="95">
        <v>2022</v>
      </c>
      <c r="D448" s="96">
        <v>0.4</v>
      </c>
      <c r="E448" s="96"/>
      <c r="F448" s="97">
        <v>5</v>
      </c>
      <c r="G448" s="202">
        <v>15.82385</v>
      </c>
      <c r="H448" s="147"/>
    </row>
    <row r="449" spans="1:8" x14ac:dyDescent="0.25">
      <c r="A449" s="105" t="s">
        <v>785</v>
      </c>
      <c r="B449" s="94" t="s">
        <v>46</v>
      </c>
      <c r="C449" s="95">
        <v>2022</v>
      </c>
      <c r="D449" s="96">
        <v>0.4</v>
      </c>
      <c r="E449" s="96"/>
      <c r="F449" s="97">
        <v>15</v>
      </c>
      <c r="G449" s="209">
        <v>25.337630000000001</v>
      </c>
      <c r="H449" s="147"/>
    </row>
    <row r="450" spans="1:8" x14ac:dyDescent="0.25">
      <c r="A450" s="105" t="s">
        <v>785</v>
      </c>
      <c r="B450" s="94" t="s">
        <v>46</v>
      </c>
      <c r="C450" s="95">
        <v>2022</v>
      </c>
      <c r="D450" s="96">
        <v>0.4</v>
      </c>
      <c r="E450" s="96"/>
      <c r="F450" s="97">
        <v>15</v>
      </c>
      <c r="G450" s="209">
        <v>25.33765</v>
      </c>
      <c r="H450" s="147"/>
    </row>
    <row r="451" spans="1:8" x14ac:dyDescent="0.25">
      <c r="A451" s="105" t="s">
        <v>785</v>
      </c>
      <c r="B451" s="94" t="s">
        <v>45</v>
      </c>
      <c r="C451" s="95">
        <v>2022</v>
      </c>
      <c r="D451" s="96">
        <v>0.4</v>
      </c>
      <c r="E451" s="96"/>
      <c r="F451" s="97">
        <v>15</v>
      </c>
      <c r="G451" s="209">
        <v>25.377839999999999</v>
      </c>
      <c r="H451" s="147"/>
    </row>
    <row r="452" spans="1:8" x14ac:dyDescent="0.25">
      <c r="A452" s="105" t="s">
        <v>785</v>
      </c>
      <c r="B452" s="94" t="s">
        <v>697</v>
      </c>
      <c r="C452" s="95">
        <v>2022</v>
      </c>
      <c r="D452" s="96">
        <v>0.4</v>
      </c>
      <c r="E452" s="96"/>
      <c r="F452" s="97">
        <v>15</v>
      </c>
      <c r="G452" s="209">
        <v>28.080500000000001</v>
      </c>
      <c r="H452" s="147"/>
    </row>
    <row r="453" spans="1:8" x14ac:dyDescent="0.25">
      <c r="A453" s="105" t="s">
        <v>784</v>
      </c>
      <c r="B453" s="94" t="s">
        <v>44</v>
      </c>
      <c r="C453" s="95">
        <v>2022</v>
      </c>
      <c r="D453" s="96">
        <v>0.4</v>
      </c>
      <c r="E453" s="96"/>
      <c r="F453" s="97">
        <v>5</v>
      </c>
      <c r="G453" s="202">
        <v>13.210120000000002</v>
      </c>
      <c r="H453" s="147"/>
    </row>
    <row r="454" spans="1:8" x14ac:dyDescent="0.25">
      <c r="A454" s="105" t="s">
        <v>784</v>
      </c>
      <c r="B454" s="94" t="s">
        <v>43</v>
      </c>
      <c r="C454" s="95">
        <v>2022</v>
      </c>
      <c r="D454" s="96">
        <v>0.4</v>
      </c>
      <c r="E454" s="96"/>
      <c r="F454" s="97">
        <v>5</v>
      </c>
      <c r="G454" s="202">
        <v>12.774430000000001</v>
      </c>
      <c r="H454" s="147"/>
    </row>
    <row r="455" spans="1:8" x14ac:dyDescent="0.25">
      <c r="A455" s="105" t="s">
        <v>784</v>
      </c>
      <c r="B455" s="94" t="s">
        <v>42</v>
      </c>
      <c r="C455" s="95">
        <v>2022</v>
      </c>
      <c r="D455" s="96">
        <v>0.4</v>
      </c>
      <c r="E455" s="96"/>
      <c r="F455" s="97">
        <v>5</v>
      </c>
      <c r="G455" s="202">
        <v>27.432770000000001</v>
      </c>
      <c r="H455" s="147"/>
    </row>
    <row r="456" spans="1:8" x14ac:dyDescent="0.25">
      <c r="A456" s="105" t="s">
        <v>785</v>
      </c>
      <c r="B456" s="94" t="s">
        <v>41</v>
      </c>
      <c r="C456" s="95">
        <v>2022</v>
      </c>
      <c r="D456" s="96">
        <v>0.4</v>
      </c>
      <c r="E456" s="96"/>
      <c r="F456" s="97">
        <v>15</v>
      </c>
      <c r="G456" s="209">
        <v>28.004669999999997</v>
      </c>
      <c r="H456" s="147"/>
    </row>
    <row r="457" spans="1:8" x14ac:dyDescent="0.25">
      <c r="A457" s="105" t="s">
        <v>785</v>
      </c>
      <c r="B457" s="94" t="s">
        <v>698</v>
      </c>
      <c r="C457" s="95">
        <v>2022</v>
      </c>
      <c r="D457" s="96">
        <v>0.4</v>
      </c>
      <c r="E457" s="96"/>
      <c r="F457" s="97">
        <v>15</v>
      </c>
      <c r="G457" s="209">
        <v>25.432849999999998</v>
      </c>
      <c r="H457" s="147"/>
    </row>
    <row r="458" spans="1:8" x14ac:dyDescent="0.25">
      <c r="A458" s="105" t="s">
        <v>785</v>
      </c>
      <c r="B458" s="94" t="s">
        <v>699</v>
      </c>
      <c r="C458" s="95">
        <v>2022</v>
      </c>
      <c r="D458" s="96">
        <v>0.4</v>
      </c>
      <c r="E458" s="96"/>
      <c r="F458" s="97">
        <v>15</v>
      </c>
      <c r="G458" s="209">
        <v>25.791180000000001</v>
      </c>
      <c r="H458" s="147"/>
    </row>
    <row r="459" spans="1:8" x14ac:dyDescent="0.25">
      <c r="A459" s="105" t="s">
        <v>785</v>
      </c>
      <c r="B459" s="94" t="s">
        <v>40</v>
      </c>
      <c r="C459" s="95">
        <v>2022</v>
      </c>
      <c r="D459" s="96">
        <v>0.4</v>
      </c>
      <c r="E459" s="96"/>
      <c r="F459" s="97">
        <v>15</v>
      </c>
      <c r="G459" s="209">
        <v>25.705380000000002</v>
      </c>
      <c r="H459" s="147"/>
    </row>
    <row r="460" spans="1:8" x14ac:dyDescent="0.25">
      <c r="A460" s="105" t="s">
        <v>785</v>
      </c>
      <c r="B460" s="94" t="s">
        <v>39</v>
      </c>
      <c r="C460" s="95">
        <v>2022</v>
      </c>
      <c r="D460" s="96">
        <v>0.4</v>
      </c>
      <c r="E460" s="96"/>
      <c r="F460" s="97">
        <v>15</v>
      </c>
      <c r="G460" s="209">
        <v>20.082319999999999</v>
      </c>
      <c r="H460" s="147"/>
    </row>
    <row r="461" spans="1:8" x14ac:dyDescent="0.25">
      <c r="A461" s="105" t="s">
        <v>785</v>
      </c>
      <c r="B461" s="94" t="s">
        <v>38</v>
      </c>
      <c r="C461" s="95">
        <v>2022</v>
      </c>
      <c r="D461" s="96">
        <v>0.4</v>
      </c>
      <c r="E461" s="96"/>
      <c r="F461" s="97">
        <v>15</v>
      </c>
      <c r="G461" s="209">
        <v>25.449310000000001</v>
      </c>
      <c r="H461" s="147"/>
    </row>
    <row r="462" spans="1:8" x14ac:dyDescent="0.25">
      <c r="A462" s="105" t="s">
        <v>785</v>
      </c>
      <c r="B462" s="94" t="s">
        <v>37</v>
      </c>
      <c r="C462" s="95">
        <v>2022</v>
      </c>
      <c r="D462" s="96">
        <v>0.4</v>
      </c>
      <c r="E462" s="96"/>
      <c r="F462" s="97">
        <v>15</v>
      </c>
      <c r="G462" s="209">
        <v>25.621189999999999</v>
      </c>
      <c r="H462" s="147"/>
    </row>
    <row r="463" spans="1:8" x14ac:dyDescent="0.25">
      <c r="A463" s="105" t="s">
        <v>785</v>
      </c>
      <c r="B463" s="94" t="s">
        <v>36</v>
      </c>
      <c r="C463" s="95">
        <v>2022</v>
      </c>
      <c r="D463" s="96">
        <v>0.4</v>
      </c>
      <c r="E463" s="96"/>
      <c r="F463" s="97">
        <v>15</v>
      </c>
      <c r="G463" s="209">
        <v>25.377839999999999</v>
      </c>
      <c r="H463" s="147"/>
    </row>
    <row r="464" spans="1:8" x14ac:dyDescent="0.25">
      <c r="A464" s="105" t="s">
        <v>784</v>
      </c>
      <c r="B464" s="94" t="s">
        <v>700</v>
      </c>
      <c r="C464" s="95">
        <v>2022</v>
      </c>
      <c r="D464" s="96">
        <v>0.4</v>
      </c>
      <c r="E464" s="96"/>
      <c r="F464" s="97">
        <v>5</v>
      </c>
      <c r="G464" s="202">
        <v>13.230259999999999</v>
      </c>
      <c r="H464" s="147"/>
    </row>
    <row r="465" spans="1:8" x14ac:dyDescent="0.25">
      <c r="A465" s="105" t="s">
        <v>785</v>
      </c>
      <c r="B465" s="94" t="s">
        <v>35</v>
      </c>
      <c r="C465" s="95">
        <v>2022</v>
      </c>
      <c r="D465" s="96">
        <v>0.4</v>
      </c>
      <c r="E465" s="96"/>
      <c r="F465" s="97">
        <v>15</v>
      </c>
      <c r="G465" s="209">
        <v>25.599630000000001</v>
      </c>
      <c r="H465" s="147"/>
    </row>
    <row r="466" spans="1:8" x14ac:dyDescent="0.25">
      <c r="A466" s="105" t="s">
        <v>785</v>
      </c>
      <c r="B466" s="94" t="s">
        <v>34</v>
      </c>
      <c r="C466" s="95">
        <v>2022</v>
      </c>
      <c r="D466" s="96">
        <v>0.4</v>
      </c>
      <c r="E466" s="96"/>
      <c r="F466" s="97">
        <v>15</v>
      </c>
      <c r="G466" s="209">
        <v>46.501300000000001</v>
      </c>
      <c r="H466" s="147"/>
    </row>
    <row r="467" spans="1:8" x14ac:dyDescent="0.25">
      <c r="A467" s="105" t="s">
        <v>785</v>
      </c>
      <c r="B467" s="94" t="s">
        <v>33</v>
      </c>
      <c r="C467" s="95">
        <v>2022</v>
      </c>
      <c r="D467" s="96">
        <v>0.4</v>
      </c>
      <c r="E467" s="96"/>
      <c r="F467" s="97">
        <v>15</v>
      </c>
      <c r="G467" s="209">
        <v>25.294160000000002</v>
      </c>
      <c r="H467" s="147"/>
    </row>
    <row r="468" spans="1:8" x14ac:dyDescent="0.25">
      <c r="A468" s="105" t="s">
        <v>784</v>
      </c>
      <c r="B468" s="94" t="s">
        <v>701</v>
      </c>
      <c r="C468" s="95">
        <v>2022</v>
      </c>
      <c r="D468" s="96">
        <v>0.4</v>
      </c>
      <c r="E468" s="96"/>
      <c r="F468" s="97">
        <v>5</v>
      </c>
      <c r="G468" s="202">
        <v>13.10492</v>
      </c>
      <c r="H468" s="147"/>
    </row>
    <row r="469" spans="1:8" x14ac:dyDescent="0.25">
      <c r="A469" s="105" t="s">
        <v>785</v>
      </c>
      <c r="B469" s="94" t="s">
        <v>569</v>
      </c>
      <c r="C469" s="95">
        <v>2022</v>
      </c>
      <c r="D469" s="96">
        <v>0.4</v>
      </c>
      <c r="E469" s="96"/>
      <c r="F469" s="97">
        <v>15</v>
      </c>
      <c r="G469" s="209">
        <v>46.292970000000004</v>
      </c>
      <c r="H469" s="147"/>
    </row>
    <row r="470" spans="1:8" x14ac:dyDescent="0.25">
      <c r="A470" s="105" t="s">
        <v>785</v>
      </c>
      <c r="B470" s="94" t="s">
        <v>32</v>
      </c>
      <c r="C470" s="95">
        <v>2022</v>
      </c>
      <c r="D470" s="96">
        <v>0.4</v>
      </c>
      <c r="E470" s="96"/>
      <c r="F470" s="97">
        <v>15</v>
      </c>
      <c r="G470" s="209">
        <v>25.11084</v>
      </c>
      <c r="H470" s="147"/>
    </row>
    <row r="471" spans="1:8" x14ac:dyDescent="0.25">
      <c r="A471" s="105" t="s">
        <v>785</v>
      </c>
      <c r="B471" s="94" t="s">
        <v>31</v>
      </c>
      <c r="C471" s="95">
        <v>2022</v>
      </c>
      <c r="D471" s="96">
        <v>0.4</v>
      </c>
      <c r="E471" s="96"/>
      <c r="F471" s="97">
        <v>15</v>
      </c>
      <c r="G471" s="209">
        <v>25.602509999999999</v>
      </c>
      <c r="H471" s="147"/>
    </row>
    <row r="472" spans="1:8" x14ac:dyDescent="0.25">
      <c r="A472" s="105" t="s">
        <v>785</v>
      </c>
      <c r="B472" s="94" t="s">
        <v>30</v>
      </c>
      <c r="C472" s="95">
        <v>2022</v>
      </c>
      <c r="D472" s="96">
        <v>0.4</v>
      </c>
      <c r="E472" s="96"/>
      <c r="F472" s="97">
        <v>15</v>
      </c>
      <c r="G472" s="209">
        <v>25.384520000000002</v>
      </c>
      <c r="H472" s="147"/>
    </row>
    <row r="473" spans="1:8" x14ac:dyDescent="0.25">
      <c r="A473" s="105" t="s">
        <v>785</v>
      </c>
      <c r="B473" s="94" t="s">
        <v>29</v>
      </c>
      <c r="C473" s="95">
        <v>2022</v>
      </c>
      <c r="D473" s="96">
        <v>0.4</v>
      </c>
      <c r="E473" s="96"/>
      <c r="F473" s="97">
        <v>15</v>
      </c>
      <c r="G473" s="209">
        <v>10.72207</v>
      </c>
      <c r="H473" s="147"/>
    </row>
    <row r="474" spans="1:8" x14ac:dyDescent="0.25">
      <c r="A474" s="105" t="s">
        <v>785</v>
      </c>
      <c r="B474" s="94" t="s">
        <v>702</v>
      </c>
      <c r="C474" s="95">
        <v>2022</v>
      </c>
      <c r="D474" s="96">
        <v>0.4</v>
      </c>
      <c r="E474" s="96"/>
      <c r="F474" s="97">
        <v>15</v>
      </c>
      <c r="G474" s="209">
        <v>29.455929999999999</v>
      </c>
      <c r="H474" s="147"/>
    </row>
    <row r="475" spans="1:8" x14ac:dyDescent="0.25">
      <c r="A475" s="105" t="s">
        <v>785</v>
      </c>
      <c r="B475" s="94" t="s">
        <v>702</v>
      </c>
      <c r="C475" s="95">
        <v>2022</v>
      </c>
      <c r="D475" s="96">
        <v>0.4</v>
      </c>
      <c r="E475" s="96"/>
      <c r="F475" s="97">
        <v>15</v>
      </c>
      <c r="G475" s="209">
        <v>28.872199999999999</v>
      </c>
      <c r="H475" s="147"/>
    </row>
    <row r="476" spans="1:8" x14ac:dyDescent="0.25">
      <c r="A476" s="105" t="s">
        <v>785</v>
      </c>
      <c r="B476" s="94" t="s">
        <v>28</v>
      </c>
      <c r="C476" s="95">
        <v>2022</v>
      </c>
      <c r="D476" s="96">
        <v>0.4</v>
      </c>
      <c r="E476" s="96"/>
      <c r="F476" s="97">
        <v>15</v>
      </c>
      <c r="G476" s="209">
        <v>25.602499999999999</v>
      </c>
      <c r="H476" s="147"/>
    </row>
    <row r="477" spans="1:8" x14ac:dyDescent="0.25">
      <c r="A477" s="105" t="s">
        <v>784</v>
      </c>
      <c r="B477" s="94" t="s">
        <v>27</v>
      </c>
      <c r="C477" s="95">
        <v>2022</v>
      </c>
      <c r="D477" s="96">
        <v>0.4</v>
      </c>
      <c r="E477" s="96"/>
      <c r="F477" s="97">
        <v>5</v>
      </c>
      <c r="G477" s="202">
        <v>12.805260000000001</v>
      </c>
      <c r="H477" s="147"/>
    </row>
    <row r="478" spans="1:8" x14ac:dyDescent="0.25">
      <c r="A478" s="105" t="s">
        <v>784</v>
      </c>
      <c r="B478" s="94" t="s">
        <v>26</v>
      </c>
      <c r="C478" s="95">
        <v>2022</v>
      </c>
      <c r="D478" s="96">
        <v>0.4</v>
      </c>
      <c r="E478" s="96"/>
      <c r="F478" s="97">
        <v>5</v>
      </c>
      <c r="G478" s="202">
        <v>25.432839999999999</v>
      </c>
      <c r="H478" s="147"/>
    </row>
    <row r="479" spans="1:8" x14ac:dyDescent="0.25">
      <c r="A479" s="105" t="s">
        <v>785</v>
      </c>
      <c r="B479" s="94" t="s">
        <v>25</v>
      </c>
      <c r="C479" s="95">
        <v>2022</v>
      </c>
      <c r="D479" s="96">
        <v>0.4</v>
      </c>
      <c r="E479" s="96"/>
      <c r="F479" s="97">
        <v>15</v>
      </c>
      <c r="G479" s="209">
        <v>29.056990000000003</v>
      </c>
      <c r="H479" s="147"/>
    </row>
    <row r="480" spans="1:8" x14ac:dyDescent="0.25">
      <c r="A480" s="105" t="s">
        <v>785</v>
      </c>
      <c r="B480" s="94" t="s">
        <v>24</v>
      </c>
      <c r="C480" s="95">
        <v>2022</v>
      </c>
      <c r="D480" s="96">
        <v>0.4</v>
      </c>
      <c r="E480" s="96"/>
      <c r="F480" s="97">
        <v>15</v>
      </c>
      <c r="G480" s="209">
        <v>25.50431</v>
      </c>
      <c r="H480" s="147"/>
    </row>
    <row r="481" spans="1:8" x14ac:dyDescent="0.25">
      <c r="A481" s="105" t="s">
        <v>785</v>
      </c>
      <c r="B481" s="94" t="s">
        <v>23</v>
      </c>
      <c r="C481" s="95">
        <v>2022</v>
      </c>
      <c r="D481" s="96">
        <v>0.4</v>
      </c>
      <c r="E481" s="96"/>
      <c r="F481" s="97">
        <v>15</v>
      </c>
      <c r="G481" s="209">
        <v>26.10548</v>
      </c>
      <c r="H481" s="147"/>
    </row>
    <row r="482" spans="1:8" x14ac:dyDescent="0.25">
      <c r="A482" s="105" t="s">
        <v>784</v>
      </c>
      <c r="B482" s="94" t="s">
        <v>63</v>
      </c>
      <c r="C482" s="95">
        <v>2022</v>
      </c>
      <c r="D482" s="96">
        <v>0.4</v>
      </c>
      <c r="E482" s="96"/>
      <c r="F482" s="97">
        <v>5</v>
      </c>
      <c r="G482" s="202">
        <v>13.15236</v>
      </c>
      <c r="H482" s="147"/>
    </row>
    <row r="483" spans="1:8" x14ac:dyDescent="0.25">
      <c r="A483" s="105" t="s">
        <v>785</v>
      </c>
      <c r="B483" s="94" t="s">
        <v>22</v>
      </c>
      <c r="C483" s="95">
        <v>2022</v>
      </c>
      <c r="D483" s="96">
        <v>0.4</v>
      </c>
      <c r="E483" s="96"/>
      <c r="F483" s="97">
        <v>15</v>
      </c>
      <c r="G483" s="209">
        <v>25.431660000000001</v>
      </c>
      <c r="H483" s="147"/>
    </row>
    <row r="484" spans="1:8" x14ac:dyDescent="0.25">
      <c r="A484" s="105" t="s">
        <v>785</v>
      </c>
      <c r="B484" s="94" t="s">
        <v>21</v>
      </c>
      <c r="C484" s="95">
        <v>2022</v>
      </c>
      <c r="D484" s="96">
        <v>0.4</v>
      </c>
      <c r="E484" s="96"/>
      <c r="F484" s="97">
        <v>15</v>
      </c>
      <c r="G484" s="209">
        <v>25.291810000000002</v>
      </c>
      <c r="H484" s="147"/>
    </row>
    <row r="485" spans="1:8" x14ac:dyDescent="0.25">
      <c r="A485" s="105" t="s">
        <v>785</v>
      </c>
      <c r="B485" s="94" t="s">
        <v>20</v>
      </c>
      <c r="C485" s="95">
        <v>2022</v>
      </c>
      <c r="D485" s="96">
        <v>0.4</v>
      </c>
      <c r="E485" s="96"/>
      <c r="F485" s="97">
        <v>15</v>
      </c>
      <c r="G485" s="209">
        <v>25.422840000000001</v>
      </c>
      <c r="H485" s="147"/>
    </row>
    <row r="486" spans="1:8" x14ac:dyDescent="0.25">
      <c r="A486" s="105" t="s">
        <v>785</v>
      </c>
      <c r="B486" s="94" t="s">
        <v>19</v>
      </c>
      <c r="C486" s="95">
        <v>2022</v>
      </c>
      <c r="D486" s="96">
        <v>0.4</v>
      </c>
      <c r="E486" s="96"/>
      <c r="F486" s="97">
        <v>15</v>
      </c>
      <c r="G486" s="209">
        <v>25.299520000000001</v>
      </c>
      <c r="H486" s="147"/>
    </row>
    <row r="487" spans="1:8" x14ac:dyDescent="0.25">
      <c r="A487" s="105" t="s">
        <v>785</v>
      </c>
      <c r="B487" s="94" t="s">
        <v>18</v>
      </c>
      <c r="C487" s="95">
        <v>2022</v>
      </c>
      <c r="D487" s="96">
        <v>0.4</v>
      </c>
      <c r="E487" s="96"/>
      <c r="F487" s="97">
        <v>15</v>
      </c>
      <c r="G487" s="209">
        <v>25.672840000000001</v>
      </c>
      <c r="H487" s="147"/>
    </row>
    <row r="488" spans="1:8" x14ac:dyDescent="0.25">
      <c r="A488" s="105" t="s">
        <v>785</v>
      </c>
      <c r="B488" s="94" t="s">
        <v>17</v>
      </c>
      <c r="C488" s="95">
        <v>2022</v>
      </c>
      <c r="D488" s="96">
        <v>0.4</v>
      </c>
      <c r="E488" s="96"/>
      <c r="F488" s="97">
        <v>15</v>
      </c>
      <c r="G488" s="209">
        <v>12.679919999999999</v>
      </c>
      <c r="H488" s="147"/>
    </row>
    <row r="489" spans="1:8" x14ac:dyDescent="0.25">
      <c r="A489" s="105" t="s">
        <v>785</v>
      </c>
      <c r="B489" s="94" t="s">
        <v>16</v>
      </c>
      <c r="C489" s="95">
        <v>2022</v>
      </c>
      <c r="D489" s="96">
        <v>0.4</v>
      </c>
      <c r="E489" s="96"/>
      <c r="F489" s="97">
        <v>15</v>
      </c>
      <c r="G489" s="209">
        <v>25.337630000000001</v>
      </c>
      <c r="H489" s="147"/>
    </row>
    <row r="490" spans="1:8" x14ac:dyDescent="0.25">
      <c r="A490" s="105" t="s">
        <v>785</v>
      </c>
      <c r="B490" s="94" t="s">
        <v>15</v>
      </c>
      <c r="C490" s="95">
        <v>2022</v>
      </c>
      <c r="D490" s="96">
        <v>0.4</v>
      </c>
      <c r="E490" s="96"/>
      <c r="F490" s="97">
        <v>15</v>
      </c>
      <c r="G490" s="209">
        <v>28.330349999999999</v>
      </c>
      <c r="H490" s="147"/>
    </row>
    <row r="491" spans="1:8" x14ac:dyDescent="0.25">
      <c r="A491" s="105" t="s">
        <v>784</v>
      </c>
      <c r="B491" s="94" t="s">
        <v>14</v>
      </c>
      <c r="C491" s="95">
        <v>2022</v>
      </c>
      <c r="D491" s="96">
        <v>0.4</v>
      </c>
      <c r="E491" s="96"/>
      <c r="F491" s="97">
        <v>5</v>
      </c>
      <c r="G491" s="202">
        <v>16.497970000000002</v>
      </c>
      <c r="H491" s="147"/>
    </row>
    <row r="492" spans="1:8" x14ac:dyDescent="0.25">
      <c r="A492" s="105" t="s">
        <v>784</v>
      </c>
      <c r="B492" s="94" t="s">
        <v>703</v>
      </c>
      <c r="C492" s="95">
        <v>2022</v>
      </c>
      <c r="D492" s="96">
        <v>0.4</v>
      </c>
      <c r="E492" s="96"/>
      <c r="F492" s="97">
        <v>5</v>
      </c>
      <c r="G492" s="202">
        <v>13.09085</v>
      </c>
      <c r="H492" s="147"/>
    </row>
    <row r="493" spans="1:8" x14ac:dyDescent="0.25">
      <c r="A493" s="105" t="s">
        <v>784</v>
      </c>
      <c r="B493" s="94" t="s">
        <v>703</v>
      </c>
      <c r="C493" s="95">
        <v>2022</v>
      </c>
      <c r="D493" s="96">
        <v>0.4</v>
      </c>
      <c r="E493" s="96"/>
      <c r="F493" s="97">
        <v>5</v>
      </c>
      <c r="G493" s="202">
        <v>13.09085</v>
      </c>
      <c r="H493" s="147"/>
    </row>
    <row r="494" spans="1:8" x14ac:dyDescent="0.25">
      <c r="A494" s="105" t="s">
        <v>785</v>
      </c>
      <c r="B494" s="94" t="s">
        <v>12</v>
      </c>
      <c r="C494" s="95">
        <v>2022</v>
      </c>
      <c r="D494" s="96">
        <v>0.4</v>
      </c>
      <c r="E494" s="96"/>
      <c r="F494" s="97">
        <v>15</v>
      </c>
      <c r="G494" s="209">
        <v>28.174669999999999</v>
      </c>
      <c r="H494" s="147"/>
    </row>
    <row r="495" spans="1:8" x14ac:dyDescent="0.25">
      <c r="A495" s="105" t="s">
        <v>784</v>
      </c>
      <c r="B495" s="94" t="s">
        <v>11</v>
      </c>
      <c r="C495" s="95">
        <v>2022</v>
      </c>
      <c r="D495" s="96">
        <v>0.4</v>
      </c>
      <c r="E495" s="96"/>
      <c r="F495" s="97">
        <v>5</v>
      </c>
      <c r="G495" s="202">
        <v>13.01595</v>
      </c>
      <c r="H495" s="147"/>
    </row>
    <row r="496" spans="1:8" x14ac:dyDescent="0.25">
      <c r="A496" s="105" t="s">
        <v>784</v>
      </c>
      <c r="B496" s="94" t="s">
        <v>689</v>
      </c>
      <c r="C496" s="95">
        <v>2022</v>
      </c>
      <c r="D496" s="96">
        <v>0.4</v>
      </c>
      <c r="E496" s="96"/>
      <c r="F496" s="97">
        <v>5</v>
      </c>
      <c r="G496" s="202">
        <v>13.39841</v>
      </c>
      <c r="H496" s="147"/>
    </row>
    <row r="497" spans="1:12" x14ac:dyDescent="0.25">
      <c r="A497" s="105" t="s">
        <v>784</v>
      </c>
      <c r="B497" s="94" t="s">
        <v>338</v>
      </c>
      <c r="C497" s="95">
        <v>2022</v>
      </c>
      <c r="D497" s="96">
        <v>0.4</v>
      </c>
      <c r="E497" s="96"/>
      <c r="F497" s="97">
        <v>5</v>
      </c>
      <c r="G497" s="202">
        <v>27.507020000000001</v>
      </c>
      <c r="H497" s="147"/>
    </row>
    <row r="498" spans="1:12" x14ac:dyDescent="0.25">
      <c r="A498" s="105" t="s">
        <v>785</v>
      </c>
      <c r="B498" s="94" t="s">
        <v>704</v>
      </c>
      <c r="C498" s="95">
        <v>2022</v>
      </c>
      <c r="D498" s="96">
        <v>0.4</v>
      </c>
      <c r="E498" s="96"/>
      <c r="F498" s="97">
        <v>14</v>
      </c>
      <c r="G498" s="209">
        <v>27.25066</v>
      </c>
      <c r="H498" s="147"/>
    </row>
    <row r="499" spans="1:12" x14ac:dyDescent="0.25">
      <c r="A499" s="105" t="s">
        <v>785</v>
      </c>
      <c r="B499" s="94" t="s">
        <v>395</v>
      </c>
      <c r="C499" s="95">
        <v>2022</v>
      </c>
      <c r="D499" s="96">
        <v>0.4</v>
      </c>
      <c r="E499" s="96"/>
      <c r="F499" s="97">
        <v>15</v>
      </c>
      <c r="G499" s="209">
        <v>8.4575800000000001</v>
      </c>
      <c r="H499" s="147"/>
    </row>
    <row r="500" spans="1:12" x14ac:dyDescent="0.25">
      <c r="A500" s="105" t="s">
        <v>784</v>
      </c>
      <c r="B500" s="94" t="s">
        <v>10</v>
      </c>
      <c r="C500" s="95">
        <v>2022</v>
      </c>
      <c r="D500" s="96">
        <v>0.4</v>
      </c>
      <c r="E500" s="96"/>
      <c r="F500" s="97">
        <v>5</v>
      </c>
      <c r="G500" s="202">
        <v>6.1163500000000006</v>
      </c>
      <c r="H500" s="147"/>
    </row>
    <row r="501" spans="1:12" x14ac:dyDescent="0.25">
      <c r="A501" s="105" t="s">
        <v>785</v>
      </c>
      <c r="B501" s="94" t="s">
        <v>705</v>
      </c>
      <c r="C501" s="95">
        <v>2022</v>
      </c>
      <c r="D501" s="96">
        <v>0.4</v>
      </c>
      <c r="E501" s="96"/>
      <c r="F501" s="97">
        <v>15</v>
      </c>
      <c r="G501" s="209">
        <v>29.260770000000001</v>
      </c>
      <c r="H501" s="147"/>
    </row>
    <row r="502" spans="1:12" x14ac:dyDescent="0.25">
      <c r="A502" s="105" t="s">
        <v>785</v>
      </c>
      <c r="B502" s="94" t="s">
        <v>706</v>
      </c>
      <c r="C502" s="95">
        <v>2022</v>
      </c>
      <c r="D502" s="96">
        <v>0.4</v>
      </c>
      <c r="E502" s="96"/>
      <c r="F502" s="97">
        <v>15</v>
      </c>
      <c r="G502" s="209">
        <v>11.18492</v>
      </c>
      <c r="H502" s="147"/>
    </row>
    <row r="503" spans="1:12" x14ac:dyDescent="0.25">
      <c r="A503" s="105" t="s">
        <v>785</v>
      </c>
      <c r="B503" s="94" t="s">
        <v>8</v>
      </c>
      <c r="C503" s="95">
        <v>2022</v>
      </c>
      <c r="D503" s="96">
        <v>0.4</v>
      </c>
      <c r="E503" s="96"/>
      <c r="F503" s="97">
        <v>15</v>
      </c>
      <c r="G503" s="209">
        <v>12.36669</v>
      </c>
      <c r="H503" s="147"/>
    </row>
    <row r="504" spans="1:12" x14ac:dyDescent="0.25">
      <c r="A504" s="105" t="s">
        <v>784</v>
      </c>
      <c r="B504" s="94" t="s">
        <v>7</v>
      </c>
      <c r="C504" s="95">
        <v>2022</v>
      </c>
      <c r="D504" s="96">
        <v>0.4</v>
      </c>
      <c r="E504" s="96"/>
      <c r="F504" s="97">
        <v>5</v>
      </c>
      <c r="G504" s="202">
        <v>12.332610000000001</v>
      </c>
      <c r="H504" s="147"/>
    </row>
    <row r="505" spans="1:12" x14ac:dyDescent="0.25">
      <c r="A505" s="105" t="s">
        <v>784</v>
      </c>
      <c r="B505" s="94" t="s">
        <v>6</v>
      </c>
      <c r="C505" s="95">
        <v>2022</v>
      </c>
      <c r="D505" s="96">
        <v>0.4</v>
      </c>
      <c r="E505" s="96"/>
      <c r="F505" s="97">
        <v>5</v>
      </c>
      <c r="G505" s="202">
        <v>6.0021499999999994</v>
      </c>
      <c r="H505" s="147"/>
    </row>
    <row r="506" spans="1:12" ht="36.75" customHeight="1" thickBot="1" x14ac:dyDescent="0.3">
      <c r="A506" s="112" t="s">
        <v>784</v>
      </c>
      <c r="B506" s="113" t="s">
        <v>4</v>
      </c>
      <c r="C506" s="114">
        <v>2022</v>
      </c>
      <c r="D506" s="115">
        <v>0.4</v>
      </c>
      <c r="E506" s="115"/>
      <c r="F506" s="116">
        <v>5</v>
      </c>
      <c r="G506" s="210">
        <v>15.31967</v>
      </c>
      <c r="H506" s="147"/>
    </row>
    <row r="507" spans="1:12" ht="29.25" customHeight="1" x14ac:dyDescent="0.25">
      <c r="A507" s="251" t="s">
        <v>784</v>
      </c>
      <c r="B507" s="256" t="s">
        <v>797</v>
      </c>
      <c r="C507" s="187">
        <v>2023</v>
      </c>
      <c r="D507" s="120">
        <v>0.4</v>
      </c>
      <c r="E507" s="235">
        <v>1</v>
      </c>
      <c r="F507" s="253">
        <v>5</v>
      </c>
      <c r="G507" s="109">
        <v>26.695440000000001</v>
      </c>
      <c r="L507" s="15"/>
    </row>
    <row r="508" spans="1:12" ht="29.25" customHeight="1" x14ac:dyDescent="0.25">
      <c r="A508" s="251" t="s">
        <v>784</v>
      </c>
      <c r="B508" s="256" t="s">
        <v>798</v>
      </c>
      <c r="C508" s="187">
        <v>2023</v>
      </c>
      <c r="D508" s="120">
        <v>0.4</v>
      </c>
      <c r="E508" s="235">
        <v>1</v>
      </c>
      <c r="F508" s="224">
        <v>5</v>
      </c>
      <c r="G508" s="109">
        <v>26.695439999999998</v>
      </c>
      <c r="L508" s="15"/>
    </row>
    <row r="509" spans="1:12" ht="29.25" customHeight="1" x14ac:dyDescent="0.25">
      <c r="A509" s="251" t="s">
        <v>784</v>
      </c>
      <c r="B509" s="256" t="s">
        <v>799</v>
      </c>
      <c r="C509" s="187">
        <v>2023</v>
      </c>
      <c r="D509" s="120">
        <v>0.4</v>
      </c>
      <c r="E509" s="235">
        <v>1</v>
      </c>
      <c r="F509" s="224">
        <v>5</v>
      </c>
      <c r="G509" s="109">
        <v>26.836599999999997</v>
      </c>
      <c r="L509" s="15"/>
    </row>
    <row r="510" spans="1:12" ht="29.25" customHeight="1" x14ac:dyDescent="0.25">
      <c r="A510" s="251" t="s">
        <v>784</v>
      </c>
      <c r="B510" s="256" t="s">
        <v>795</v>
      </c>
      <c r="C510" s="187">
        <v>2023</v>
      </c>
      <c r="D510" s="120">
        <v>0.4</v>
      </c>
      <c r="E510" s="235">
        <v>1</v>
      </c>
      <c r="F510" s="224">
        <v>5</v>
      </c>
      <c r="G510" s="109">
        <v>27.159569999999999</v>
      </c>
      <c r="L510" s="15"/>
    </row>
    <row r="511" spans="1:12" ht="29.25" customHeight="1" x14ac:dyDescent="0.25">
      <c r="A511" s="251" t="s">
        <v>784</v>
      </c>
      <c r="B511" s="256" t="s">
        <v>796</v>
      </c>
      <c r="C511" s="187">
        <v>2023</v>
      </c>
      <c r="D511" s="120">
        <v>0.4</v>
      </c>
      <c r="E511" s="235">
        <v>1</v>
      </c>
      <c r="F511" s="224">
        <v>5</v>
      </c>
      <c r="G511" s="109">
        <v>26.819040000000001</v>
      </c>
      <c r="L511" s="15"/>
    </row>
    <row r="512" spans="1:12" ht="29.25" customHeight="1" x14ac:dyDescent="0.25">
      <c r="A512" s="251" t="s">
        <v>784</v>
      </c>
      <c r="B512" s="257" t="s">
        <v>800</v>
      </c>
      <c r="C512" s="187">
        <v>2023</v>
      </c>
      <c r="D512" s="120">
        <v>0.4</v>
      </c>
      <c r="E512" s="235">
        <v>1</v>
      </c>
      <c r="F512" s="224">
        <v>5</v>
      </c>
      <c r="G512" s="109">
        <v>26.695439999999998</v>
      </c>
      <c r="L512" s="15"/>
    </row>
    <row r="513" spans="1:12" ht="29.25" customHeight="1" x14ac:dyDescent="0.25">
      <c r="A513" s="251" t="s">
        <v>784</v>
      </c>
      <c r="B513" s="257" t="s">
        <v>801</v>
      </c>
      <c r="C513" s="187">
        <v>2023</v>
      </c>
      <c r="D513" s="120">
        <v>0.4</v>
      </c>
      <c r="E513" s="235">
        <v>1</v>
      </c>
      <c r="F513" s="224">
        <v>5</v>
      </c>
      <c r="G513" s="109">
        <v>12.869680000000001</v>
      </c>
      <c r="L513" s="15"/>
    </row>
    <row r="514" spans="1:12" ht="29.25" customHeight="1" x14ac:dyDescent="0.25">
      <c r="A514" s="251" t="s">
        <v>784</v>
      </c>
      <c r="B514" s="257" t="s">
        <v>802</v>
      </c>
      <c r="C514" s="187">
        <v>2023</v>
      </c>
      <c r="D514" s="120">
        <v>0.4</v>
      </c>
      <c r="E514" s="235">
        <v>1</v>
      </c>
      <c r="F514" s="224">
        <v>5</v>
      </c>
      <c r="G514" s="109">
        <v>12.869680000000001</v>
      </c>
      <c r="L514" s="15"/>
    </row>
    <row r="515" spans="1:12" ht="29.25" customHeight="1" x14ac:dyDescent="0.25">
      <c r="A515" s="251" t="s">
        <v>784</v>
      </c>
      <c r="B515" s="257" t="s">
        <v>803</v>
      </c>
      <c r="C515" s="187">
        <v>2023</v>
      </c>
      <c r="D515" s="120">
        <v>0.4</v>
      </c>
      <c r="E515" s="235">
        <v>1</v>
      </c>
      <c r="F515" s="224">
        <v>5</v>
      </c>
      <c r="G515" s="109">
        <v>12.52181</v>
      </c>
      <c r="L515" s="15"/>
    </row>
    <row r="516" spans="1:12" ht="29.25" customHeight="1" x14ac:dyDescent="0.25">
      <c r="A516" s="251" t="s">
        <v>785</v>
      </c>
      <c r="B516" s="257" t="s">
        <v>804</v>
      </c>
      <c r="C516" s="187">
        <v>2023</v>
      </c>
      <c r="D516" s="120">
        <v>0.4</v>
      </c>
      <c r="E516" s="235">
        <v>1</v>
      </c>
      <c r="F516" s="224">
        <v>15</v>
      </c>
      <c r="G516" s="109">
        <v>34.348489999999998</v>
      </c>
      <c r="L516" s="15"/>
    </row>
    <row r="517" spans="1:12" ht="29.25" customHeight="1" x14ac:dyDescent="0.25">
      <c r="A517" s="251" t="s">
        <v>784</v>
      </c>
      <c r="B517" s="257" t="s">
        <v>805</v>
      </c>
      <c r="C517" s="187">
        <v>2023</v>
      </c>
      <c r="D517" s="120">
        <v>0.4</v>
      </c>
      <c r="E517" s="235">
        <v>1</v>
      </c>
      <c r="F517" s="224">
        <v>5</v>
      </c>
      <c r="G517" s="109">
        <v>12.617649999999999</v>
      </c>
      <c r="L517" s="15"/>
    </row>
    <row r="518" spans="1:12" ht="29.25" customHeight="1" x14ac:dyDescent="0.25">
      <c r="A518" s="251" t="s">
        <v>784</v>
      </c>
      <c r="B518" s="257" t="s">
        <v>806</v>
      </c>
      <c r="C518" s="187">
        <v>2023</v>
      </c>
      <c r="D518" s="120">
        <v>0.4</v>
      </c>
      <c r="E518" s="235">
        <v>1</v>
      </c>
      <c r="F518" s="224">
        <v>5</v>
      </c>
      <c r="G518" s="109">
        <v>12.810639999999999</v>
      </c>
      <c r="L518" s="15"/>
    </row>
    <row r="519" spans="1:12" ht="29.25" customHeight="1" x14ac:dyDescent="0.25">
      <c r="A519" s="251" t="s">
        <v>785</v>
      </c>
      <c r="B519" s="258" t="s">
        <v>807</v>
      </c>
      <c r="C519" s="187">
        <v>2023</v>
      </c>
      <c r="D519" s="120">
        <v>0.4</v>
      </c>
      <c r="E519" s="235">
        <v>1</v>
      </c>
      <c r="F519" s="224">
        <v>15</v>
      </c>
      <c r="G519" s="109">
        <v>25.269020000000001</v>
      </c>
      <c r="L519" s="15"/>
    </row>
    <row r="520" spans="1:12" ht="29.25" customHeight="1" x14ac:dyDescent="0.25">
      <c r="A520" s="251" t="s">
        <v>784</v>
      </c>
      <c r="B520" s="257" t="s">
        <v>808</v>
      </c>
      <c r="C520" s="187">
        <v>2023</v>
      </c>
      <c r="D520" s="120">
        <v>0.4</v>
      </c>
      <c r="E520" s="235">
        <v>1</v>
      </c>
      <c r="F520" s="224">
        <v>5</v>
      </c>
      <c r="G520" s="109">
        <v>12.673299999999999</v>
      </c>
      <c r="L520" s="15"/>
    </row>
    <row r="521" spans="1:12" ht="29.25" customHeight="1" x14ac:dyDescent="0.25">
      <c r="A521" s="251" t="s">
        <v>784</v>
      </c>
      <c r="B521" s="257" t="s">
        <v>809</v>
      </c>
      <c r="C521" s="187">
        <v>2023</v>
      </c>
      <c r="D521" s="120">
        <v>0.4</v>
      </c>
      <c r="E521" s="235">
        <v>1</v>
      </c>
      <c r="F521" s="224">
        <v>5</v>
      </c>
      <c r="G521" s="109">
        <v>26.898400000000002</v>
      </c>
      <c r="L521" s="15"/>
    </row>
    <row r="522" spans="1:12" ht="29.25" customHeight="1" x14ac:dyDescent="0.25">
      <c r="A522" s="251" t="s">
        <v>785</v>
      </c>
      <c r="B522" s="257" t="s">
        <v>810</v>
      </c>
      <c r="C522" s="187">
        <v>2023</v>
      </c>
      <c r="D522" s="120">
        <v>0.4</v>
      </c>
      <c r="E522" s="235">
        <v>1</v>
      </c>
      <c r="F522" s="224">
        <v>15</v>
      </c>
      <c r="G522" s="109">
        <v>0</v>
      </c>
      <c r="L522" s="15"/>
    </row>
    <row r="523" spans="1:12" ht="29.25" customHeight="1" x14ac:dyDescent="0.25">
      <c r="A523" s="251" t="s">
        <v>785</v>
      </c>
      <c r="B523" s="257" t="s">
        <v>811</v>
      </c>
      <c r="C523" s="187">
        <v>2023</v>
      </c>
      <c r="D523" s="120">
        <v>0.4</v>
      </c>
      <c r="E523" s="235">
        <v>1</v>
      </c>
      <c r="F523" s="224">
        <v>15</v>
      </c>
      <c r="G523" s="109">
        <v>24.62678</v>
      </c>
      <c r="L523" s="15"/>
    </row>
    <row r="524" spans="1:12" ht="29.25" customHeight="1" x14ac:dyDescent="0.25">
      <c r="A524" s="251" t="s">
        <v>784</v>
      </c>
      <c r="B524" s="257" t="s">
        <v>812</v>
      </c>
      <c r="C524" s="187">
        <v>2023</v>
      </c>
      <c r="D524" s="120">
        <v>0.4</v>
      </c>
      <c r="E524" s="235">
        <v>1</v>
      </c>
      <c r="F524" s="224">
        <v>5</v>
      </c>
      <c r="G524" s="109">
        <v>28.24935</v>
      </c>
      <c r="L524" s="15"/>
    </row>
    <row r="525" spans="1:12" ht="29.25" customHeight="1" x14ac:dyDescent="0.25">
      <c r="A525" s="251" t="s">
        <v>784</v>
      </c>
      <c r="B525" s="257" t="s">
        <v>813</v>
      </c>
      <c r="C525" s="187">
        <v>2023</v>
      </c>
      <c r="D525" s="120">
        <v>0.4</v>
      </c>
      <c r="E525" s="235">
        <v>1</v>
      </c>
      <c r="F525" s="254">
        <v>5</v>
      </c>
      <c r="G525" s="244">
        <v>12.8697</v>
      </c>
      <c r="L525" s="15"/>
    </row>
    <row r="526" spans="1:12" ht="29.25" customHeight="1" x14ac:dyDescent="0.25">
      <c r="A526" s="251" t="s">
        <v>784</v>
      </c>
      <c r="B526" s="257" t="s">
        <v>814</v>
      </c>
      <c r="C526" s="187">
        <v>2023</v>
      </c>
      <c r="D526" s="120">
        <v>0.4</v>
      </c>
      <c r="E526" s="235">
        <v>1</v>
      </c>
      <c r="F526" s="254">
        <v>5</v>
      </c>
      <c r="G526" s="244">
        <v>12.673309999999999</v>
      </c>
      <c r="L526" s="15"/>
    </row>
    <row r="527" spans="1:12" ht="29.25" customHeight="1" x14ac:dyDescent="0.25">
      <c r="A527" s="251" t="s">
        <v>785</v>
      </c>
      <c r="B527" s="257" t="s">
        <v>815</v>
      </c>
      <c r="C527" s="187">
        <v>2023</v>
      </c>
      <c r="D527" s="120">
        <v>0.4</v>
      </c>
      <c r="E527" s="235">
        <v>1</v>
      </c>
      <c r="F527" s="254">
        <v>15</v>
      </c>
      <c r="G527" s="244">
        <v>23.948139999999999</v>
      </c>
      <c r="L527" s="15"/>
    </row>
    <row r="528" spans="1:12" ht="29.25" customHeight="1" x14ac:dyDescent="0.25">
      <c r="A528" s="251" t="s">
        <v>785</v>
      </c>
      <c r="B528" s="257" t="s">
        <v>816</v>
      </c>
      <c r="C528" s="187">
        <v>2023</v>
      </c>
      <c r="D528" s="120">
        <v>0.4</v>
      </c>
      <c r="E528" s="235">
        <v>1</v>
      </c>
      <c r="F528" s="254">
        <v>15</v>
      </c>
      <c r="G528" s="244">
        <v>25.173200000000001</v>
      </c>
      <c r="L528" s="15"/>
    </row>
    <row r="529" spans="1:12" ht="29.25" customHeight="1" x14ac:dyDescent="0.25">
      <c r="A529" s="251" t="s">
        <v>785</v>
      </c>
      <c r="B529" s="257" t="s">
        <v>817</v>
      </c>
      <c r="C529" s="187">
        <v>2023</v>
      </c>
      <c r="D529" s="120">
        <v>0.4</v>
      </c>
      <c r="E529" s="235">
        <v>1</v>
      </c>
      <c r="F529" s="254">
        <v>15</v>
      </c>
      <c r="G529" s="244">
        <v>24.754770000000001</v>
      </c>
      <c r="L529" s="15"/>
    </row>
    <row r="530" spans="1:12" ht="29.25" customHeight="1" x14ac:dyDescent="0.25">
      <c r="A530" s="251" t="s">
        <v>784</v>
      </c>
      <c r="B530" s="257" t="s">
        <v>818</v>
      </c>
      <c r="C530" s="187">
        <v>2023</v>
      </c>
      <c r="D530" s="120">
        <v>0.4</v>
      </c>
      <c r="E530" s="235">
        <v>1</v>
      </c>
      <c r="F530" s="254">
        <v>5</v>
      </c>
      <c r="G530" s="244">
        <v>12.57704</v>
      </c>
      <c r="L530" s="15"/>
    </row>
    <row r="531" spans="1:12" ht="29.25" customHeight="1" x14ac:dyDescent="0.25">
      <c r="A531" s="251" t="s">
        <v>784</v>
      </c>
      <c r="B531" s="257" t="s">
        <v>819</v>
      </c>
      <c r="C531" s="187">
        <v>2023</v>
      </c>
      <c r="D531" s="120">
        <v>0.4</v>
      </c>
      <c r="E531" s="235">
        <v>1</v>
      </c>
      <c r="F531" s="254">
        <v>5</v>
      </c>
      <c r="G531" s="244">
        <v>12.98114</v>
      </c>
      <c r="L531" s="15"/>
    </row>
    <row r="532" spans="1:12" ht="29.25" customHeight="1" x14ac:dyDescent="0.25">
      <c r="A532" s="251" t="s">
        <v>785</v>
      </c>
      <c r="B532" s="257" t="s">
        <v>820</v>
      </c>
      <c r="C532" s="187">
        <v>2023</v>
      </c>
      <c r="D532" s="120">
        <v>0.4</v>
      </c>
      <c r="E532" s="235">
        <v>1</v>
      </c>
      <c r="F532" s="254">
        <v>15</v>
      </c>
      <c r="G532" s="244">
        <v>76.11506</v>
      </c>
      <c r="L532" s="15"/>
    </row>
    <row r="533" spans="1:12" ht="29.25" customHeight="1" x14ac:dyDescent="0.25">
      <c r="A533" s="251" t="s">
        <v>785</v>
      </c>
      <c r="B533" s="257" t="s">
        <v>821</v>
      </c>
      <c r="C533" s="187">
        <v>2023</v>
      </c>
      <c r="D533" s="120">
        <v>0.4</v>
      </c>
      <c r="E533" s="235">
        <v>1</v>
      </c>
      <c r="F533" s="254">
        <v>15</v>
      </c>
      <c r="G533" s="244">
        <v>31.777650000000001</v>
      </c>
      <c r="L533" s="15"/>
    </row>
    <row r="534" spans="1:12" ht="29.25" customHeight="1" x14ac:dyDescent="0.25">
      <c r="A534" s="251" t="s">
        <v>785</v>
      </c>
      <c r="B534" s="257" t="s">
        <v>822</v>
      </c>
      <c r="C534" s="187">
        <v>2023</v>
      </c>
      <c r="D534" s="120">
        <v>0.4</v>
      </c>
      <c r="E534" s="235">
        <v>1</v>
      </c>
      <c r="F534" s="254">
        <v>15</v>
      </c>
      <c r="G534" s="244">
        <v>25.12622</v>
      </c>
      <c r="L534" s="15"/>
    </row>
    <row r="535" spans="1:12" ht="29.25" customHeight="1" x14ac:dyDescent="0.25">
      <c r="A535" s="251" t="s">
        <v>784</v>
      </c>
      <c r="B535" s="257" t="s">
        <v>823</v>
      </c>
      <c r="C535" s="187">
        <v>2023</v>
      </c>
      <c r="D535" s="120">
        <v>0.4</v>
      </c>
      <c r="E535" s="235">
        <v>1</v>
      </c>
      <c r="F535" s="254">
        <v>5</v>
      </c>
      <c r="G535" s="244">
        <v>13.109</v>
      </c>
      <c r="L535" s="15"/>
    </row>
    <row r="536" spans="1:12" ht="29.25" customHeight="1" x14ac:dyDescent="0.25">
      <c r="A536" s="251" t="s">
        <v>784</v>
      </c>
      <c r="B536" s="257" t="s">
        <v>824</v>
      </c>
      <c r="C536" s="187">
        <v>2023</v>
      </c>
      <c r="D536" s="120">
        <v>0.4</v>
      </c>
      <c r="E536" s="235">
        <v>1</v>
      </c>
      <c r="F536" s="254">
        <v>5</v>
      </c>
      <c r="G536" s="244">
        <v>13.159520000000001</v>
      </c>
      <c r="L536" s="15"/>
    </row>
    <row r="537" spans="1:12" ht="29.25" customHeight="1" x14ac:dyDescent="0.25">
      <c r="A537" s="251" t="s">
        <v>785</v>
      </c>
      <c r="B537" s="257" t="s">
        <v>825</v>
      </c>
      <c r="C537" s="187">
        <v>2023</v>
      </c>
      <c r="D537" s="120">
        <v>0.4</v>
      </c>
      <c r="E537" s="235">
        <v>1</v>
      </c>
      <c r="F537" s="254">
        <v>15</v>
      </c>
      <c r="G537" s="244">
        <v>24.974550000000001</v>
      </c>
      <c r="L537" s="15"/>
    </row>
    <row r="538" spans="1:12" ht="29.25" customHeight="1" x14ac:dyDescent="0.25">
      <c r="A538" s="251" t="s">
        <v>784</v>
      </c>
      <c r="B538" s="257" t="s">
        <v>826</v>
      </c>
      <c r="C538" s="187">
        <v>2023</v>
      </c>
      <c r="D538" s="120">
        <v>0.4</v>
      </c>
      <c r="E538" s="235">
        <v>1</v>
      </c>
      <c r="F538" s="254">
        <v>5</v>
      </c>
      <c r="G538" s="244">
        <v>13.109</v>
      </c>
      <c r="L538" s="15"/>
    </row>
    <row r="539" spans="1:12" ht="29.25" customHeight="1" x14ac:dyDescent="0.25">
      <c r="A539" s="251" t="s">
        <v>785</v>
      </c>
      <c r="B539" s="257" t="s">
        <v>827</v>
      </c>
      <c r="C539" s="187">
        <v>2023</v>
      </c>
      <c r="D539" s="120">
        <v>0.4</v>
      </c>
      <c r="E539" s="235">
        <v>1</v>
      </c>
      <c r="F539" s="254">
        <v>15</v>
      </c>
      <c r="G539" s="244">
        <v>24.98</v>
      </c>
      <c r="L539" s="15"/>
    </row>
    <row r="540" spans="1:12" ht="29.25" customHeight="1" x14ac:dyDescent="0.25">
      <c r="A540" s="251" t="s">
        <v>785</v>
      </c>
      <c r="B540" s="257" t="s">
        <v>828</v>
      </c>
      <c r="C540" s="187">
        <v>2023</v>
      </c>
      <c r="D540" s="120">
        <v>0.4</v>
      </c>
      <c r="E540" s="235">
        <v>1</v>
      </c>
      <c r="F540" s="254">
        <v>15</v>
      </c>
      <c r="G540" s="244">
        <v>25.173200000000001</v>
      </c>
      <c r="L540" s="15"/>
    </row>
    <row r="541" spans="1:12" ht="29.25" customHeight="1" x14ac:dyDescent="0.25">
      <c r="A541" s="251" t="s">
        <v>785</v>
      </c>
      <c r="B541" s="257" t="s">
        <v>829</v>
      </c>
      <c r="C541" s="187">
        <v>2023</v>
      </c>
      <c r="D541" s="120">
        <v>0.4</v>
      </c>
      <c r="E541" s="235">
        <v>1</v>
      </c>
      <c r="F541" s="254">
        <v>15</v>
      </c>
      <c r="G541" s="244">
        <v>25.712580000000003</v>
      </c>
      <c r="L541" s="15"/>
    </row>
    <row r="542" spans="1:12" ht="29.25" customHeight="1" x14ac:dyDescent="0.25">
      <c r="A542" s="251" t="s">
        <v>785</v>
      </c>
      <c r="B542" s="257" t="s">
        <v>830</v>
      </c>
      <c r="C542" s="187">
        <v>2023</v>
      </c>
      <c r="D542" s="120">
        <v>0.4</v>
      </c>
      <c r="E542" s="235">
        <v>1</v>
      </c>
      <c r="F542" s="254">
        <v>15</v>
      </c>
      <c r="G542" s="244">
        <v>26.067450000000001</v>
      </c>
      <c r="L542" s="15"/>
    </row>
    <row r="543" spans="1:12" ht="29.25" customHeight="1" x14ac:dyDescent="0.25">
      <c r="A543" s="251" t="s">
        <v>785</v>
      </c>
      <c r="B543" s="257" t="s">
        <v>831</v>
      </c>
      <c r="C543" s="187">
        <v>2023</v>
      </c>
      <c r="D543" s="120">
        <v>0.4</v>
      </c>
      <c r="E543" s="235">
        <v>1</v>
      </c>
      <c r="F543" s="254">
        <v>15</v>
      </c>
      <c r="G543" s="244">
        <v>25.52309</v>
      </c>
      <c r="L543" s="15"/>
    </row>
    <row r="544" spans="1:12" ht="29.25" customHeight="1" x14ac:dyDescent="0.25">
      <c r="A544" s="251" t="s">
        <v>784</v>
      </c>
      <c r="B544" s="257" t="s">
        <v>832</v>
      </c>
      <c r="C544" s="187">
        <v>2023</v>
      </c>
      <c r="D544" s="120">
        <v>0.4</v>
      </c>
      <c r="E544" s="235">
        <v>1</v>
      </c>
      <c r="F544" s="254">
        <v>5</v>
      </c>
      <c r="G544" s="244">
        <v>13.159520000000001</v>
      </c>
      <c r="L544" s="15"/>
    </row>
    <row r="545" spans="1:12" ht="29.25" customHeight="1" x14ac:dyDescent="0.25">
      <c r="A545" s="251" t="s">
        <v>784</v>
      </c>
      <c r="B545" s="257" t="s">
        <v>833</v>
      </c>
      <c r="C545" s="187">
        <v>2023</v>
      </c>
      <c r="D545" s="120">
        <v>0.4</v>
      </c>
      <c r="E545" s="235">
        <v>1</v>
      </c>
      <c r="F545" s="254">
        <v>5</v>
      </c>
      <c r="G545" s="244">
        <v>9.9173299999999998</v>
      </c>
      <c r="L545" s="15"/>
    </row>
    <row r="546" spans="1:12" ht="29.25" customHeight="1" x14ac:dyDescent="0.25">
      <c r="A546" s="251" t="s">
        <v>785</v>
      </c>
      <c r="B546" s="257" t="s">
        <v>834</v>
      </c>
      <c r="C546" s="187">
        <v>2023</v>
      </c>
      <c r="D546" s="120">
        <v>0.4</v>
      </c>
      <c r="E546" s="235">
        <v>1</v>
      </c>
      <c r="F546" s="254">
        <v>14</v>
      </c>
      <c r="G546" s="244">
        <v>9.3739799999999995</v>
      </c>
      <c r="L546" s="15"/>
    </row>
    <row r="547" spans="1:12" ht="29.25" customHeight="1" x14ac:dyDescent="0.25">
      <c r="A547" s="251" t="s">
        <v>785</v>
      </c>
      <c r="B547" s="257" t="s">
        <v>835</v>
      </c>
      <c r="C547" s="187">
        <v>2023</v>
      </c>
      <c r="D547" s="120">
        <v>0.4</v>
      </c>
      <c r="E547" s="235">
        <v>1</v>
      </c>
      <c r="F547" s="254">
        <v>15</v>
      </c>
      <c r="G547" s="244">
        <v>25.712580000000003</v>
      </c>
      <c r="L547" s="15"/>
    </row>
    <row r="548" spans="1:12" ht="29.25" customHeight="1" x14ac:dyDescent="0.25">
      <c r="A548" s="251" t="s">
        <v>785</v>
      </c>
      <c r="B548" s="257" t="s">
        <v>836</v>
      </c>
      <c r="C548" s="187">
        <v>2023</v>
      </c>
      <c r="D548" s="120">
        <v>0.4</v>
      </c>
      <c r="E548" s="235">
        <v>1</v>
      </c>
      <c r="F548" s="254">
        <v>15</v>
      </c>
      <c r="G548" s="244">
        <v>26.235979999999998</v>
      </c>
      <c r="L548" s="15"/>
    </row>
    <row r="549" spans="1:12" ht="29.25" customHeight="1" x14ac:dyDescent="0.25">
      <c r="A549" s="251" t="s">
        <v>785</v>
      </c>
      <c r="B549" s="257" t="s">
        <v>837</v>
      </c>
      <c r="C549" s="187">
        <v>2023</v>
      </c>
      <c r="D549" s="120">
        <v>0.4</v>
      </c>
      <c r="E549" s="235">
        <v>1</v>
      </c>
      <c r="F549" s="254">
        <v>15</v>
      </c>
      <c r="G549" s="244">
        <v>24.754770000000001</v>
      </c>
      <c r="L549" s="15"/>
    </row>
    <row r="550" spans="1:12" ht="29.25" customHeight="1" x14ac:dyDescent="0.25">
      <c r="A550" s="251" t="s">
        <v>784</v>
      </c>
      <c r="B550" s="257" t="s">
        <v>838</v>
      </c>
      <c r="C550" s="187">
        <v>2023</v>
      </c>
      <c r="D550" s="120">
        <v>0.4</v>
      </c>
      <c r="E550" s="235">
        <v>1</v>
      </c>
      <c r="F550" s="254">
        <v>5</v>
      </c>
      <c r="G550" s="244">
        <v>13.30566</v>
      </c>
      <c r="L550" s="15"/>
    </row>
    <row r="551" spans="1:12" ht="29.25" customHeight="1" x14ac:dyDescent="0.25">
      <c r="A551" s="251" t="s">
        <v>785</v>
      </c>
      <c r="B551" s="257" t="s">
        <v>839</v>
      </c>
      <c r="C551" s="187">
        <v>2023</v>
      </c>
      <c r="D551" s="120">
        <v>0.4</v>
      </c>
      <c r="E551" s="235">
        <v>1</v>
      </c>
      <c r="F551" s="254">
        <v>15</v>
      </c>
      <c r="G551" s="244">
        <v>25.269029999999997</v>
      </c>
      <c r="L551" s="15"/>
    </row>
    <row r="552" spans="1:12" ht="29.25" customHeight="1" x14ac:dyDescent="0.25">
      <c r="A552" s="251" t="s">
        <v>784</v>
      </c>
      <c r="B552" s="257" t="s">
        <v>840</v>
      </c>
      <c r="C552" s="187">
        <v>2023</v>
      </c>
      <c r="D552" s="120">
        <v>0.4</v>
      </c>
      <c r="E552" s="235">
        <v>1</v>
      </c>
      <c r="F552" s="254">
        <v>5</v>
      </c>
      <c r="G552" s="244">
        <v>12.869680000000001</v>
      </c>
      <c r="L552" s="15"/>
    </row>
    <row r="553" spans="1:12" ht="29.25" customHeight="1" x14ac:dyDescent="0.25">
      <c r="A553" s="251" t="s">
        <v>784</v>
      </c>
      <c r="B553" s="257" t="s">
        <v>841</v>
      </c>
      <c r="C553" s="187">
        <v>2023</v>
      </c>
      <c r="D553" s="120">
        <v>0.4</v>
      </c>
      <c r="E553" s="235">
        <v>1</v>
      </c>
      <c r="F553" s="254">
        <v>5</v>
      </c>
      <c r="G553" s="244">
        <v>13.251340000000001</v>
      </c>
      <c r="L553" s="15"/>
    </row>
    <row r="554" spans="1:12" ht="29.25" customHeight="1" x14ac:dyDescent="0.25">
      <c r="A554" s="251" t="s">
        <v>784</v>
      </c>
      <c r="B554" s="257" t="s">
        <v>842</v>
      </c>
      <c r="C554" s="187">
        <v>2023</v>
      </c>
      <c r="D554" s="120">
        <v>0.4</v>
      </c>
      <c r="E554" s="235">
        <v>1</v>
      </c>
      <c r="F554" s="254">
        <v>5</v>
      </c>
      <c r="G554" s="244">
        <v>13.251340000000001</v>
      </c>
      <c r="L554" s="15"/>
    </row>
    <row r="555" spans="1:12" ht="29.25" customHeight="1" x14ac:dyDescent="0.25">
      <c r="A555" s="251" t="s">
        <v>785</v>
      </c>
      <c r="B555" s="257" t="s">
        <v>843</v>
      </c>
      <c r="C555" s="187">
        <v>2023</v>
      </c>
      <c r="D555" s="120">
        <v>0.4</v>
      </c>
      <c r="E555" s="235">
        <v>1</v>
      </c>
      <c r="F555" s="254">
        <v>15</v>
      </c>
      <c r="G555" s="244">
        <v>25.25309</v>
      </c>
      <c r="L555" s="15"/>
    </row>
    <row r="556" spans="1:12" ht="29.25" customHeight="1" x14ac:dyDescent="0.25">
      <c r="A556" s="251" t="s">
        <v>784</v>
      </c>
      <c r="B556" s="257" t="s">
        <v>844</v>
      </c>
      <c r="C556" s="187">
        <v>2023</v>
      </c>
      <c r="D556" s="120">
        <v>0.4</v>
      </c>
      <c r="E556" s="235">
        <v>1</v>
      </c>
      <c r="F556" s="254">
        <v>5</v>
      </c>
      <c r="G556" s="244">
        <v>25.159669999999998</v>
      </c>
      <c r="L556" s="15"/>
    </row>
    <row r="557" spans="1:12" ht="29.25" customHeight="1" x14ac:dyDescent="0.25">
      <c r="A557" s="251" t="s">
        <v>784</v>
      </c>
      <c r="B557" s="257" t="s">
        <v>845</v>
      </c>
      <c r="C557" s="187">
        <v>2023</v>
      </c>
      <c r="D557" s="120">
        <v>0.4</v>
      </c>
      <c r="E557" s="235">
        <v>1</v>
      </c>
      <c r="F557" s="254">
        <v>5</v>
      </c>
      <c r="G557" s="244">
        <v>12.617649999999999</v>
      </c>
      <c r="L557" s="15"/>
    </row>
    <row r="558" spans="1:12" ht="29.25" customHeight="1" x14ac:dyDescent="0.25">
      <c r="A558" s="251" t="s">
        <v>785</v>
      </c>
      <c r="B558" s="257" t="s">
        <v>846</v>
      </c>
      <c r="C558" s="187">
        <v>2023</v>
      </c>
      <c r="D558" s="120">
        <v>0.4</v>
      </c>
      <c r="E558" s="235">
        <v>1</v>
      </c>
      <c r="F558" s="254">
        <v>15</v>
      </c>
      <c r="G558" s="244">
        <v>31.531179999999999</v>
      </c>
      <c r="L558" s="15"/>
    </row>
    <row r="559" spans="1:12" ht="29.25" customHeight="1" x14ac:dyDescent="0.25">
      <c r="A559" s="251" t="s">
        <v>784</v>
      </c>
      <c r="B559" s="257" t="s">
        <v>847</v>
      </c>
      <c r="C559" s="187">
        <v>2023</v>
      </c>
      <c r="D559" s="120">
        <v>0.4</v>
      </c>
      <c r="E559" s="235">
        <v>1</v>
      </c>
      <c r="F559" s="254">
        <v>5</v>
      </c>
      <c r="G559" s="244">
        <v>12.77122</v>
      </c>
      <c r="L559" s="15"/>
    </row>
    <row r="560" spans="1:12" ht="29.25" customHeight="1" x14ac:dyDescent="0.25">
      <c r="A560" s="251" t="s">
        <v>784</v>
      </c>
      <c r="B560" s="257" t="s">
        <v>848</v>
      </c>
      <c r="C560" s="187">
        <v>2023</v>
      </c>
      <c r="D560" s="120">
        <v>0.4</v>
      </c>
      <c r="E560" s="235">
        <v>1</v>
      </c>
      <c r="F560" s="254">
        <v>5</v>
      </c>
      <c r="G560" s="244">
        <v>12.77122</v>
      </c>
      <c r="L560" s="15"/>
    </row>
    <row r="561" spans="1:12" ht="29.25" customHeight="1" x14ac:dyDescent="0.25">
      <c r="A561" s="251" t="s">
        <v>785</v>
      </c>
      <c r="B561" s="257" t="s">
        <v>849</v>
      </c>
      <c r="C561" s="187">
        <v>2023</v>
      </c>
      <c r="D561" s="120">
        <v>0.4</v>
      </c>
      <c r="E561" s="235">
        <v>1</v>
      </c>
      <c r="F561" s="254">
        <v>15</v>
      </c>
      <c r="G561" s="244">
        <v>31.840979999999998</v>
      </c>
      <c r="L561" s="15"/>
    </row>
    <row r="562" spans="1:12" ht="29.25" customHeight="1" x14ac:dyDescent="0.25">
      <c r="A562" s="251" t="s">
        <v>785</v>
      </c>
      <c r="B562" s="257" t="s">
        <v>850</v>
      </c>
      <c r="C562" s="187">
        <v>2023</v>
      </c>
      <c r="D562" s="120">
        <v>0.4</v>
      </c>
      <c r="E562" s="235">
        <v>1</v>
      </c>
      <c r="F562" s="254">
        <v>15</v>
      </c>
      <c r="G562" s="244">
        <v>25.173189999999998</v>
      </c>
      <c r="L562" s="15"/>
    </row>
    <row r="563" spans="1:12" ht="29.25" customHeight="1" x14ac:dyDescent="0.25">
      <c r="A563" s="251" t="s">
        <v>785</v>
      </c>
      <c r="B563" s="257" t="s">
        <v>851</v>
      </c>
      <c r="C563" s="187">
        <v>2023</v>
      </c>
      <c r="D563" s="120">
        <v>0.4</v>
      </c>
      <c r="E563" s="235">
        <v>1</v>
      </c>
      <c r="F563" s="254">
        <v>15</v>
      </c>
      <c r="G563" s="244">
        <v>31.531179999999999</v>
      </c>
      <c r="L563" s="15"/>
    </row>
    <row r="564" spans="1:12" ht="29.25" customHeight="1" x14ac:dyDescent="0.25">
      <c r="A564" s="251" t="s">
        <v>784</v>
      </c>
      <c r="B564" s="257" t="s">
        <v>852</v>
      </c>
      <c r="C564" s="187">
        <v>2023</v>
      </c>
      <c r="D564" s="120">
        <v>0.4</v>
      </c>
      <c r="E564" s="235">
        <v>1</v>
      </c>
      <c r="F564" s="254">
        <v>5</v>
      </c>
      <c r="G564" s="244">
        <v>23.694490000000002</v>
      </c>
      <c r="L564" s="15"/>
    </row>
    <row r="565" spans="1:12" ht="29.25" customHeight="1" x14ac:dyDescent="0.25">
      <c r="A565" s="251" t="s">
        <v>785</v>
      </c>
      <c r="B565" s="257" t="s">
        <v>853</v>
      </c>
      <c r="C565" s="187">
        <v>2023</v>
      </c>
      <c r="D565" s="120">
        <v>0.4</v>
      </c>
      <c r="E565" s="235">
        <v>1</v>
      </c>
      <c r="F565" s="254">
        <v>15</v>
      </c>
      <c r="G565" s="244">
        <v>25.102540000000001</v>
      </c>
      <c r="L565" s="15"/>
    </row>
    <row r="566" spans="1:12" ht="29.25" customHeight="1" x14ac:dyDescent="0.25">
      <c r="A566" s="251" t="s">
        <v>784</v>
      </c>
      <c r="B566" s="257" t="s">
        <v>854</v>
      </c>
      <c r="C566" s="187">
        <v>2023</v>
      </c>
      <c r="D566" s="120">
        <v>0.4</v>
      </c>
      <c r="E566" s="235">
        <v>1</v>
      </c>
      <c r="F566" s="254">
        <v>5</v>
      </c>
      <c r="G566" s="244">
        <v>12.98114</v>
      </c>
      <c r="L566" s="15"/>
    </row>
    <row r="567" spans="1:12" ht="29.25" customHeight="1" x14ac:dyDescent="0.25">
      <c r="A567" s="251" t="s">
        <v>785</v>
      </c>
      <c r="B567" s="257" t="s">
        <v>855</v>
      </c>
      <c r="C567" s="187">
        <v>2023</v>
      </c>
      <c r="D567" s="120">
        <v>0.4</v>
      </c>
      <c r="E567" s="235">
        <v>1</v>
      </c>
      <c r="F567" s="254">
        <v>15</v>
      </c>
      <c r="G567" s="244">
        <v>24.974550000000001</v>
      </c>
      <c r="L567" s="15"/>
    </row>
    <row r="568" spans="1:12" ht="29.25" customHeight="1" x14ac:dyDescent="0.25">
      <c r="A568" s="251" t="s">
        <v>784</v>
      </c>
      <c r="B568" s="257" t="s">
        <v>856</v>
      </c>
      <c r="C568" s="187">
        <v>2023</v>
      </c>
      <c r="D568" s="120">
        <v>0.4</v>
      </c>
      <c r="E568" s="235">
        <v>1</v>
      </c>
      <c r="F568" s="254">
        <v>5</v>
      </c>
      <c r="G568" s="244">
        <v>26.869319999999998</v>
      </c>
      <c r="L568" s="15"/>
    </row>
    <row r="569" spans="1:12" ht="29.25" customHeight="1" x14ac:dyDescent="0.25">
      <c r="A569" s="251" t="s">
        <v>785</v>
      </c>
      <c r="B569" s="257" t="s">
        <v>857</v>
      </c>
      <c r="C569" s="187">
        <v>2023</v>
      </c>
      <c r="D569" s="120">
        <v>0.4</v>
      </c>
      <c r="E569" s="235">
        <v>1</v>
      </c>
      <c r="F569" s="254">
        <v>15</v>
      </c>
      <c r="G569" s="244">
        <v>25.570970000000003</v>
      </c>
      <c r="L569" s="15"/>
    </row>
    <row r="570" spans="1:12" ht="29.25" customHeight="1" x14ac:dyDescent="0.25">
      <c r="A570" s="251" t="s">
        <v>785</v>
      </c>
      <c r="B570" s="257" t="s">
        <v>858</v>
      </c>
      <c r="C570" s="187">
        <v>2023</v>
      </c>
      <c r="D570" s="120">
        <v>0.4</v>
      </c>
      <c r="E570" s="235">
        <v>1</v>
      </c>
      <c r="F570" s="254">
        <v>15</v>
      </c>
      <c r="G570" s="244">
        <v>45.980160000000005</v>
      </c>
      <c r="L570" s="15"/>
    </row>
    <row r="571" spans="1:12" ht="29.25" customHeight="1" x14ac:dyDescent="0.25">
      <c r="A571" s="251" t="s">
        <v>785</v>
      </c>
      <c r="B571" s="257" t="s">
        <v>859</v>
      </c>
      <c r="C571" s="187">
        <v>2023</v>
      </c>
      <c r="D571" s="120">
        <v>0.4</v>
      </c>
      <c r="E571" s="235">
        <v>1</v>
      </c>
      <c r="F571" s="254">
        <v>15</v>
      </c>
      <c r="G571" s="244">
        <v>24.116630000000001</v>
      </c>
      <c r="L571" s="15"/>
    </row>
    <row r="572" spans="1:12" ht="29.25" customHeight="1" x14ac:dyDescent="0.25">
      <c r="A572" s="251" t="s">
        <v>785</v>
      </c>
      <c r="B572" s="257" t="s">
        <v>860</v>
      </c>
      <c r="C572" s="187">
        <v>2023</v>
      </c>
      <c r="D572" s="120">
        <v>0.4</v>
      </c>
      <c r="E572" s="235">
        <v>1</v>
      </c>
      <c r="F572" s="254">
        <v>15</v>
      </c>
      <c r="G572" s="244">
        <v>24.95553</v>
      </c>
      <c r="L572" s="15"/>
    </row>
    <row r="573" spans="1:12" ht="29.25" customHeight="1" x14ac:dyDescent="0.25">
      <c r="A573" s="251" t="s">
        <v>784</v>
      </c>
      <c r="B573" s="257" t="s">
        <v>861</v>
      </c>
      <c r="C573" s="187">
        <v>2023</v>
      </c>
      <c r="D573" s="120">
        <v>0.4</v>
      </c>
      <c r="E573" s="235">
        <v>1</v>
      </c>
      <c r="F573" s="254">
        <v>5.5</v>
      </c>
      <c r="G573" s="244">
        <v>26.695439999999998</v>
      </c>
      <c r="L573" s="15"/>
    </row>
    <row r="574" spans="1:12" ht="29.25" customHeight="1" x14ac:dyDescent="0.25">
      <c r="A574" s="251" t="s">
        <v>784</v>
      </c>
      <c r="B574" s="257" t="s">
        <v>862</v>
      </c>
      <c r="C574" s="187">
        <v>2023</v>
      </c>
      <c r="D574" s="120">
        <v>0.4</v>
      </c>
      <c r="E574" s="235">
        <v>1</v>
      </c>
      <c r="F574" s="254">
        <v>5</v>
      </c>
      <c r="G574" s="244">
        <v>18.1036</v>
      </c>
      <c r="L574" s="15"/>
    </row>
    <row r="575" spans="1:12" ht="29.25" customHeight="1" x14ac:dyDescent="0.25">
      <c r="A575" s="251" t="s">
        <v>784</v>
      </c>
      <c r="B575" s="258" t="s">
        <v>863</v>
      </c>
      <c r="C575" s="187">
        <v>2023</v>
      </c>
      <c r="D575" s="120">
        <v>0.4</v>
      </c>
      <c r="E575" s="235">
        <v>1</v>
      </c>
      <c r="F575" s="254">
        <v>5</v>
      </c>
      <c r="G575" s="244">
        <v>10.991490000000001</v>
      </c>
      <c r="L575" s="15"/>
    </row>
    <row r="576" spans="1:12" ht="29.25" customHeight="1" x14ac:dyDescent="0.25">
      <c r="A576" s="251" t="s">
        <v>785</v>
      </c>
      <c r="B576" s="257" t="s">
        <v>864</v>
      </c>
      <c r="C576" s="187">
        <v>2023</v>
      </c>
      <c r="D576" s="120">
        <v>0.4</v>
      </c>
      <c r="E576" s="235">
        <v>1</v>
      </c>
      <c r="F576" s="254">
        <v>15</v>
      </c>
      <c r="G576" s="244">
        <v>9.5310300000000012</v>
      </c>
      <c r="L576" s="15"/>
    </row>
    <row r="577" spans="1:12" ht="29.25" customHeight="1" x14ac:dyDescent="0.25">
      <c r="A577" s="251" t="s">
        <v>784</v>
      </c>
      <c r="B577" s="257" t="s">
        <v>865</v>
      </c>
      <c r="C577" s="187">
        <v>2023</v>
      </c>
      <c r="D577" s="120">
        <v>0.4</v>
      </c>
      <c r="E577" s="235">
        <v>1</v>
      </c>
      <c r="F577" s="254">
        <v>5</v>
      </c>
      <c r="G577" s="244">
        <v>27.509790000000002</v>
      </c>
      <c r="L577" s="15"/>
    </row>
    <row r="578" spans="1:12" ht="29.25" customHeight="1" x14ac:dyDescent="0.25">
      <c r="A578" s="251" t="s">
        <v>784</v>
      </c>
      <c r="B578" s="257" t="s">
        <v>866</v>
      </c>
      <c r="C578" s="187">
        <v>2023</v>
      </c>
      <c r="D578" s="120">
        <v>0.4</v>
      </c>
      <c r="E578" s="235">
        <v>1</v>
      </c>
      <c r="F578" s="254">
        <v>5</v>
      </c>
      <c r="G578" s="244">
        <v>11.47007</v>
      </c>
      <c r="L578" s="15"/>
    </row>
    <row r="579" spans="1:12" ht="29.25" customHeight="1" x14ac:dyDescent="0.25">
      <c r="A579" s="251" t="s">
        <v>784</v>
      </c>
      <c r="B579" s="257" t="s">
        <v>867</v>
      </c>
      <c r="C579" s="187">
        <v>2023</v>
      </c>
      <c r="D579" s="120">
        <v>0.4</v>
      </c>
      <c r="E579" s="235">
        <v>1</v>
      </c>
      <c r="F579" s="254">
        <v>5</v>
      </c>
      <c r="G579" s="244">
        <v>26.743369999999999</v>
      </c>
      <c r="L579" s="15"/>
    </row>
    <row r="580" spans="1:12" ht="29.25" customHeight="1" x14ac:dyDescent="0.25">
      <c r="A580" s="251" t="s">
        <v>784</v>
      </c>
      <c r="B580" s="257" t="s">
        <v>868</v>
      </c>
      <c r="C580" s="187">
        <v>2023</v>
      </c>
      <c r="D580" s="120">
        <v>0.4</v>
      </c>
      <c r="E580" s="235">
        <v>1</v>
      </c>
      <c r="F580" s="254">
        <v>5</v>
      </c>
      <c r="G580" s="244">
        <v>26.898240000000001</v>
      </c>
      <c r="L580" s="15"/>
    </row>
    <row r="581" spans="1:12" ht="29.25" customHeight="1" x14ac:dyDescent="0.25">
      <c r="A581" s="251" t="s">
        <v>785</v>
      </c>
      <c r="B581" s="257" t="s">
        <v>869</v>
      </c>
      <c r="C581" s="187">
        <v>2023</v>
      </c>
      <c r="D581" s="120">
        <v>0.4</v>
      </c>
      <c r="E581" s="235">
        <v>1</v>
      </c>
      <c r="F581" s="254">
        <v>15</v>
      </c>
      <c r="G581" s="244">
        <v>34.459710000000001</v>
      </c>
      <c r="L581" s="15"/>
    </row>
    <row r="582" spans="1:12" ht="29.25" customHeight="1" x14ac:dyDescent="0.25">
      <c r="A582" s="251" t="s">
        <v>785</v>
      </c>
      <c r="B582" s="257" t="s">
        <v>870</v>
      </c>
      <c r="C582" s="187">
        <v>2023</v>
      </c>
      <c r="D582" s="120">
        <v>0.4</v>
      </c>
      <c r="E582" s="235">
        <v>1</v>
      </c>
      <c r="F582" s="254">
        <v>15</v>
      </c>
      <c r="G582" s="244">
        <v>25.053439999999998</v>
      </c>
      <c r="L582" s="15"/>
    </row>
    <row r="583" spans="1:12" ht="29.25" customHeight="1" x14ac:dyDescent="0.25">
      <c r="A583" s="251" t="s">
        <v>785</v>
      </c>
      <c r="B583" s="257" t="s">
        <v>871</v>
      </c>
      <c r="C583" s="187">
        <v>2023</v>
      </c>
      <c r="D583" s="120">
        <v>0.4</v>
      </c>
      <c r="E583" s="235">
        <v>1</v>
      </c>
      <c r="F583" s="254">
        <v>15</v>
      </c>
      <c r="G583" s="244">
        <v>25.932359999999999</v>
      </c>
      <c r="L583" s="15"/>
    </row>
    <row r="584" spans="1:12" ht="29.25" customHeight="1" x14ac:dyDescent="0.25">
      <c r="A584" s="251" t="s">
        <v>784</v>
      </c>
      <c r="B584" s="257" t="s">
        <v>872</v>
      </c>
      <c r="C584" s="187">
        <v>2023</v>
      </c>
      <c r="D584" s="120">
        <v>0.4</v>
      </c>
      <c r="E584" s="235">
        <v>1</v>
      </c>
      <c r="F584" s="254">
        <v>5</v>
      </c>
      <c r="G584" s="244">
        <v>23.730630000000001</v>
      </c>
      <c r="L584" s="15"/>
    </row>
    <row r="585" spans="1:12" ht="29.25" customHeight="1" x14ac:dyDescent="0.25">
      <c r="A585" s="251" t="s">
        <v>784</v>
      </c>
      <c r="B585" s="257" t="s">
        <v>873</v>
      </c>
      <c r="C585" s="187">
        <v>2023</v>
      </c>
      <c r="D585" s="120">
        <v>0.4</v>
      </c>
      <c r="E585" s="235">
        <v>1</v>
      </c>
      <c r="F585" s="254">
        <v>5</v>
      </c>
      <c r="G585" s="244">
        <v>23.541119999999999</v>
      </c>
      <c r="L585" s="15"/>
    </row>
    <row r="586" spans="1:12" ht="29.25" customHeight="1" x14ac:dyDescent="0.25">
      <c r="A586" s="251" t="s">
        <v>785</v>
      </c>
      <c r="B586" s="257" t="s">
        <v>874</v>
      </c>
      <c r="C586" s="187">
        <v>2023</v>
      </c>
      <c r="D586" s="120">
        <v>0.4</v>
      </c>
      <c r="E586" s="235">
        <v>1</v>
      </c>
      <c r="F586" s="254">
        <v>15</v>
      </c>
      <c r="G586" s="244">
        <v>31.65765</v>
      </c>
      <c r="L586" s="15"/>
    </row>
    <row r="587" spans="1:12" ht="29.25" customHeight="1" x14ac:dyDescent="0.25">
      <c r="A587" s="251" t="s">
        <v>784</v>
      </c>
      <c r="B587" s="257" t="s">
        <v>875</v>
      </c>
      <c r="C587" s="187">
        <v>2023</v>
      </c>
      <c r="D587" s="120">
        <v>0.4</v>
      </c>
      <c r="E587" s="235">
        <v>1</v>
      </c>
      <c r="F587" s="254">
        <v>5</v>
      </c>
      <c r="G587" s="244">
        <v>13.287520000000001</v>
      </c>
      <c r="L587" s="15"/>
    </row>
    <row r="588" spans="1:12" ht="29.25" customHeight="1" x14ac:dyDescent="0.25">
      <c r="A588" s="251" t="s">
        <v>785</v>
      </c>
      <c r="B588" s="257" t="s">
        <v>876</v>
      </c>
      <c r="C588" s="187">
        <v>2023</v>
      </c>
      <c r="D588" s="120">
        <v>0.4</v>
      </c>
      <c r="E588" s="235">
        <v>1</v>
      </c>
      <c r="F588" s="254">
        <v>15</v>
      </c>
      <c r="G588" s="244">
        <v>24.842169999999999</v>
      </c>
      <c r="L588" s="15"/>
    </row>
    <row r="589" spans="1:12" ht="29.25" customHeight="1" x14ac:dyDescent="0.25">
      <c r="A589" s="251" t="s">
        <v>785</v>
      </c>
      <c r="B589" s="257" t="s">
        <v>877</v>
      </c>
      <c r="C589" s="187">
        <v>2023</v>
      </c>
      <c r="D589" s="120">
        <v>0.4</v>
      </c>
      <c r="E589" s="235">
        <v>1</v>
      </c>
      <c r="F589" s="254">
        <v>15</v>
      </c>
      <c r="G589" s="244">
        <v>33.906790000000001</v>
      </c>
      <c r="L589" s="15"/>
    </row>
    <row r="590" spans="1:12" ht="29.25" customHeight="1" x14ac:dyDescent="0.25">
      <c r="A590" s="251" t="s">
        <v>785</v>
      </c>
      <c r="B590" s="257" t="s">
        <v>878</v>
      </c>
      <c r="C590" s="187">
        <v>2023</v>
      </c>
      <c r="D590" s="120">
        <v>0.4</v>
      </c>
      <c r="E590" s="235">
        <v>1</v>
      </c>
      <c r="F590" s="254">
        <v>15</v>
      </c>
      <c r="G590" s="244">
        <v>34.348489999999998</v>
      </c>
      <c r="L590" s="15"/>
    </row>
    <row r="591" spans="1:12" ht="29.25" customHeight="1" x14ac:dyDescent="0.25">
      <c r="A591" s="251" t="s">
        <v>784</v>
      </c>
      <c r="B591" s="257" t="s">
        <v>879</v>
      </c>
      <c r="C591" s="187">
        <v>2023</v>
      </c>
      <c r="D591" s="120">
        <v>0.4</v>
      </c>
      <c r="E591" s="235">
        <v>1</v>
      </c>
      <c r="F591" s="254">
        <v>5</v>
      </c>
      <c r="G591" s="244">
        <v>26.624860000000002</v>
      </c>
      <c r="L591" s="15"/>
    </row>
    <row r="592" spans="1:12" ht="29.25" customHeight="1" x14ac:dyDescent="0.25">
      <c r="A592" s="251" t="s">
        <v>784</v>
      </c>
      <c r="B592" s="257" t="s">
        <v>880</v>
      </c>
      <c r="C592" s="187">
        <v>2023</v>
      </c>
      <c r="D592" s="120">
        <v>0.4</v>
      </c>
      <c r="E592" s="235">
        <v>1</v>
      </c>
      <c r="F592" s="254">
        <v>5</v>
      </c>
      <c r="G592" s="244">
        <v>26.624860000000002</v>
      </c>
      <c r="L592" s="15"/>
    </row>
    <row r="593" spans="1:12" ht="29.25" customHeight="1" x14ac:dyDescent="0.25">
      <c r="A593" s="251" t="s">
        <v>784</v>
      </c>
      <c r="B593" s="257" t="s">
        <v>881</v>
      </c>
      <c r="C593" s="187">
        <v>2023</v>
      </c>
      <c r="D593" s="120">
        <v>0.4</v>
      </c>
      <c r="E593" s="235">
        <v>1</v>
      </c>
      <c r="F593" s="254">
        <v>5</v>
      </c>
      <c r="G593" s="244">
        <v>26.624860000000002</v>
      </c>
      <c r="L593" s="15"/>
    </row>
    <row r="594" spans="1:12" ht="29.25" customHeight="1" x14ac:dyDescent="0.25">
      <c r="A594" s="251" t="s">
        <v>784</v>
      </c>
      <c r="B594" s="257" t="s">
        <v>882</v>
      </c>
      <c r="C594" s="187">
        <v>2023</v>
      </c>
      <c r="D594" s="120">
        <v>0.4</v>
      </c>
      <c r="E594" s="235">
        <v>1</v>
      </c>
      <c r="F594" s="254">
        <v>5</v>
      </c>
      <c r="G594" s="244">
        <v>26.624860000000002</v>
      </c>
      <c r="L594" s="15"/>
    </row>
    <row r="595" spans="1:12" ht="29.25" customHeight="1" x14ac:dyDescent="0.25">
      <c r="A595" s="251" t="s">
        <v>784</v>
      </c>
      <c r="B595" s="257" t="s">
        <v>883</v>
      </c>
      <c r="C595" s="187">
        <v>2023</v>
      </c>
      <c r="D595" s="120">
        <v>0.4</v>
      </c>
      <c r="E595" s="235">
        <v>1</v>
      </c>
      <c r="F595" s="254">
        <v>5</v>
      </c>
      <c r="G595" s="244">
        <v>26.624860000000002</v>
      </c>
      <c r="L595" s="15"/>
    </row>
    <row r="596" spans="1:12" ht="29.25" customHeight="1" x14ac:dyDescent="0.25">
      <c r="A596" s="251" t="s">
        <v>784</v>
      </c>
      <c r="B596" s="257" t="s">
        <v>884</v>
      </c>
      <c r="C596" s="187">
        <v>2023</v>
      </c>
      <c r="D596" s="120">
        <v>0.4</v>
      </c>
      <c r="E596" s="235">
        <v>1</v>
      </c>
      <c r="F596" s="254">
        <v>5</v>
      </c>
      <c r="G596" s="109">
        <v>23.36271</v>
      </c>
      <c r="L596" s="15"/>
    </row>
    <row r="597" spans="1:12" ht="29.25" customHeight="1" x14ac:dyDescent="0.25">
      <c r="A597" s="251" t="s">
        <v>785</v>
      </c>
      <c r="B597" s="258" t="s">
        <v>885</v>
      </c>
      <c r="C597" s="187">
        <v>2023</v>
      </c>
      <c r="D597" s="120">
        <v>0.4</v>
      </c>
      <c r="E597" s="235">
        <v>1</v>
      </c>
      <c r="F597" s="254">
        <v>15</v>
      </c>
      <c r="G597" s="109">
        <v>31.531179999999999</v>
      </c>
      <c r="L597" s="15"/>
    </row>
    <row r="598" spans="1:12" ht="29.25" customHeight="1" x14ac:dyDescent="0.25">
      <c r="A598" s="251" t="s">
        <v>785</v>
      </c>
      <c r="B598" s="257" t="s">
        <v>886</v>
      </c>
      <c r="C598" s="187">
        <v>2023</v>
      </c>
      <c r="D598" s="120">
        <v>0.4</v>
      </c>
      <c r="E598" s="235">
        <v>1</v>
      </c>
      <c r="F598" s="224">
        <v>15</v>
      </c>
      <c r="G598" s="246">
        <v>27.621479999999998</v>
      </c>
      <c r="L598" s="15"/>
    </row>
    <row r="599" spans="1:12" ht="29.25" customHeight="1" x14ac:dyDescent="0.25">
      <c r="A599" s="251" t="s">
        <v>784</v>
      </c>
      <c r="B599" s="257" t="s">
        <v>887</v>
      </c>
      <c r="C599" s="187">
        <v>2023</v>
      </c>
      <c r="D599" s="120">
        <v>0.4</v>
      </c>
      <c r="E599" s="235">
        <v>1</v>
      </c>
      <c r="F599" s="224">
        <v>5</v>
      </c>
      <c r="G599" s="246">
        <v>24.00385</v>
      </c>
      <c r="L599" s="15"/>
    </row>
    <row r="600" spans="1:12" ht="29.25" customHeight="1" x14ac:dyDescent="0.25">
      <c r="A600" s="251" t="s">
        <v>785</v>
      </c>
      <c r="B600" s="257" t="s">
        <v>888</v>
      </c>
      <c r="C600" s="187">
        <v>2023</v>
      </c>
      <c r="D600" s="120">
        <v>0.4</v>
      </c>
      <c r="E600" s="235">
        <v>1</v>
      </c>
      <c r="F600" s="224">
        <v>15</v>
      </c>
      <c r="G600" s="246">
        <v>34.521509999999999</v>
      </c>
      <c r="L600" s="15"/>
    </row>
    <row r="601" spans="1:12" ht="29.25" customHeight="1" x14ac:dyDescent="0.25">
      <c r="A601" s="251" t="s">
        <v>784</v>
      </c>
      <c r="B601" s="257" t="s">
        <v>889</v>
      </c>
      <c r="C601" s="187">
        <v>2023</v>
      </c>
      <c r="D601" s="120">
        <v>0.4</v>
      </c>
      <c r="E601" s="235">
        <v>1</v>
      </c>
      <c r="F601" s="224">
        <v>5</v>
      </c>
      <c r="G601" s="247">
        <v>12.61481</v>
      </c>
      <c r="L601" s="15"/>
    </row>
    <row r="602" spans="1:12" ht="29.25" customHeight="1" x14ac:dyDescent="0.25">
      <c r="A602" s="251" t="s">
        <v>785</v>
      </c>
      <c r="B602" s="257" t="s">
        <v>890</v>
      </c>
      <c r="C602" s="187">
        <v>2023</v>
      </c>
      <c r="D602" s="120">
        <v>0.4</v>
      </c>
      <c r="E602" s="235">
        <v>1</v>
      </c>
      <c r="F602" s="224">
        <v>15</v>
      </c>
      <c r="G602" s="247">
        <v>26.03584</v>
      </c>
      <c r="L602" s="15"/>
    </row>
    <row r="603" spans="1:12" ht="29.25" customHeight="1" x14ac:dyDescent="0.25">
      <c r="A603" s="251" t="s">
        <v>784</v>
      </c>
      <c r="B603" s="257" t="s">
        <v>891</v>
      </c>
      <c r="C603" s="187">
        <v>2023</v>
      </c>
      <c r="D603" s="120">
        <v>0.4</v>
      </c>
      <c r="E603" s="235">
        <v>1</v>
      </c>
      <c r="F603" s="224">
        <v>5</v>
      </c>
      <c r="G603" s="247">
        <v>26.984819999999999</v>
      </c>
      <c r="L603" s="15"/>
    </row>
    <row r="604" spans="1:12" ht="29.25" customHeight="1" x14ac:dyDescent="0.25">
      <c r="A604" s="251" t="s">
        <v>785</v>
      </c>
      <c r="B604" s="257" t="s">
        <v>892</v>
      </c>
      <c r="C604" s="187">
        <v>2023</v>
      </c>
      <c r="D604" s="120">
        <v>0.4</v>
      </c>
      <c r="E604" s="235">
        <v>1</v>
      </c>
      <c r="F604" s="224">
        <v>15</v>
      </c>
      <c r="G604" s="247">
        <v>46.719760000000001</v>
      </c>
      <c r="L604" s="15"/>
    </row>
    <row r="605" spans="1:12" ht="29.25" customHeight="1" x14ac:dyDescent="0.25">
      <c r="A605" s="251" t="s">
        <v>785</v>
      </c>
      <c r="B605" s="257" t="s">
        <v>893</v>
      </c>
      <c r="C605" s="187">
        <v>2023</v>
      </c>
      <c r="D605" s="120">
        <v>0.4</v>
      </c>
      <c r="E605" s="235">
        <v>1</v>
      </c>
      <c r="F605" s="224">
        <v>15</v>
      </c>
      <c r="G605" s="247">
        <v>34.28669</v>
      </c>
      <c r="L605" s="15"/>
    </row>
    <row r="606" spans="1:12" ht="29.25" customHeight="1" x14ac:dyDescent="0.25">
      <c r="A606" s="251" t="s">
        <v>785</v>
      </c>
      <c r="B606" s="259" t="s">
        <v>894</v>
      </c>
      <c r="C606" s="187">
        <v>2023</v>
      </c>
      <c r="D606" s="120">
        <v>0.4</v>
      </c>
      <c r="E606" s="235">
        <v>1</v>
      </c>
      <c r="F606" s="254">
        <v>12</v>
      </c>
      <c r="G606" s="247">
        <v>34.459710000000001</v>
      </c>
      <c r="L606" s="15"/>
    </row>
    <row r="607" spans="1:12" ht="29.25" customHeight="1" x14ac:dyDescent="0.25">
      <c r="A607" s="251" t="s">
        <v>785</v>
      </c>
      <c r="B607" s="260" t="s">
        <v>895</v>
      </c>
      <c r="C607" s="187">
        <v>2023</v>
      </c>
      <c r="D607" s="120">
        <v>0.4</v>
      </c>
      <c r="E607" s="235">
        <v>1</v>
      </c>
      <c r="F607" s="254">
        <v>15</v>
      </c>
      <c r="G607" s="247">
        <v>34.397910000000003</v>
      </c>
      <c r="L607" s="15"/>
    </row>
    <row r="608" spans="1:12" ht="29.25" customHeight="1" x14ac:dyDescent="0.25">
      <c r="A608" s="251" t="s">
        <v>784</v>
      </c>
      <c r="B608" s="260" t="s">
        <v>896</v>
      </c>
      <c r="C608" s="187">
        <v>2023</v>
      </c>
      <c r="D608" s="120">
        <v>0.4</v>
      </c>
      <c r="E608" s="235">
        <v>1</v>
      </c>
      <c r="F608" s="254">
        <v>5</v>
      </c>
      <c r="G608" s="247">
        <v>12.73203</v>
      </c>
      <c r="L608" s="15"/>
    </row>
    <row r="609" spans="1:12" ht="29.25" customHeight="1" x14ac:dyDescent="0.25">
      <c r="A609" s="251" t="s">
        <v>784</v>
      </c>
      <c r="B609" s="260" t="s">
        <v>897</v>
      </c>
      <c r="C609" s="187">
        <v>2023</v>
      </c>
      <c r="D609" s="120">
        <v>0.4</v>
      </c>
      <c r="E609" s="235">
        <v>1</v>
      </c>
      <c r="F609" s="254">
        <v>5</v>
      </c>
      <c r="G609" s="247">
        <v>26.533930000000002</v>
      </c>
      <c r="L609" s="15"/>
    </row>
    <row r="610" spans="1:12" ht="29.25" customHeight="1" x14ac:dyDescent="0.25">
      <c r="A610" s="251" t="s">
        <v>784</v>
      </c>
      <c r="B610" s="260" t="s">
        <v>898</v>
      </c>
      <c r="C610" s="187">
        <v>2023</v>
      </c>
      <c r="D610" s="120">
        <v>0.4</v>
      </c>
      <c r="E610" s="235">
        <v>1</v>
      </c>
      <c r="F610" s="254">
        <v>5</v>
      </c>
      <c r="G610" s="247">
        <v>26.68045</v>
      </c>
      <c r="L610" s="15"/>
    </row>
    <row r="611" spans="1:12" ht="29.25" customHeight="1" x14ac:dyDescent="0.25">
      <c r="A611" s="251" t="s">
        <v>785</v>
      </c>
      <c r="B611" s="260" t="s">
        <v>899</v>
      </c>
      <c r="C611" s="187">
        <v>2023</v>
      </c>
      <c r="D611" s="120">
        <v>0.4</v>
      </c>
      <c r="E611" s="235">
        <v>1</v>
      </c>
      <c r="F611" s="254">
        <v>15</v>
      </c>
      <c r="G611" s="247">
        <v>26.931270000000001</v>
      </c>
      <c r="L611" s="15"/>
    </row>
    <row r="612" spans="1:12" ht="29.25" customHeight="1" x14ac:dyDescent="0.25">
      <c r="A612" s="251" t="s">
        <v>784</v>
      </c>
      <c r="B612" s="260" t="s">
        <v>900</v>
      </c>
      <c r="C612" s="187">
        <v>2023</v>
      </c>
      <c r="D612" s="120">
        <v>0.4</v>
      </c>
      <c r="E612" s="235">
        <v>1</v>
      </c>
      <c r="F612" s="254">
        <v>5</v>
      </c>
      <c r="G612" s="247">
        <v>23.730630000000001</v>
      </c>
      <c r="L612" s="15"/>
    </row>
    <row r="613" spans="1:12" ht="29.25" customHeight="1" x14ac:dyDescent="0.25">
      <c r="A613" s="251" t="s">
        <v>785</v>
      </c>
      <c r="B613" s="260" t="s">
        <v>901</v>
      </c>
      <c r="C613" s="187">
        <v>2023</v>
      </c>
      <c r="D613" s="120">
        <v>0.4</v>
      </c>
      <c r="E613" s="235">
        <v>1</v>
      </c>
      <c r="F613" s="254">
        <v>15</v>
      </c>
      <c r="G613" s="247">
        <v>24.728470000000002</v>
      </c>
      <c r="L613" s="15"/>
    </row>
    <row r="614" spans="1:12" ht="29.25" customHeight="1" x14ac:dyDescent="0.25">
      <c r="A614" s="251" t="s">
        <v>785</v>
      </c>
      <c r="B614" s="260" t="s">
        <v>902</v>
      </c>
      <c r="C614" s="187">
        <v>2023</v>
      </c>
      <c r="D614" s="120">
        <v>0.4</v>
      </c>
      <c r="E614" s="235">
        <v>1</v>
      </c>
      <c r="F614" s="254">
        <v>15</v>
      </c>
      <c r="G614" s="247">
        <v>9.1643999999999988</v>
      </c>
      <c r="L614" s="15"/>
    </row>
    <row r="615" spans="1:12" ht="29.25" customHeight="1" x14ac:dyDescent="0.25">
      <c r="A615" s="251" t="s">
        <v>785</v>
      </c>
      <c r="B615" s="260" t="s">
        <v>903</v>
      </c>
      <c r="C615" s="187">
        <v>2023</v>
      </c>
      <c r="D615" s="120">
        <v>0.4</v>
      </c>
      <c r="E615" s="235">
        <v>1</v>
      </c>
      <c r="F615" s="254">
        <v>15</v>
      </c>
      <c r="G615" s="247">
        <v>35.168030000000002</v>
      </c>
      <c r="L615" s="15"/>
    </row>
    <row r="616" spans="1:12" ht="29.25" customHeight="1" x14ac:dyDescent="0.25">
      <c r="A616" s="251" t="s">
        <v>784</v>
      </c>
      <c r="B616" s="260" t="s">
        <v>904</v>
      </c>
      <c r="C616" s="187">
        <v>2023</v>
      </c>
      <c r="D616" s="120">
        <v>0.4</v>
      </c>
      <c r="E616" s="235">
        <v>1</v>
      </c>
      <c r="F616" s="254">
        <v>5</v>
      </c>
      <c r="G616" s="247">
        <v>23.60445</v>
      </c>
      <c r="L616" s="15"/>
    </row>
    <row r="617" spans="1:12" ht="29.25" customHeight="1" x14ac:dyDescent="0.25">
      <c r="A617" s="251" t="s">
        <v>784</v>
      </c>
      <c r="B617" s="260" t="s">
        <v>905</v>
      </c>
      <c r="C617" s="187">
        <v>2023</v>
      </c>
      <c r="D617" s="120">
        <v>0.4</v>
      </c>
      <c r="E617" s="235">
        <v>1</v>
      </c>
      <c r="F617" s="254">
        <v>5</v>
      </c>
      <c r="G617" s="247">
        <v>26.44988</v>
      </c>
      <c r="L617" s="15"/>
    </row>
    <row r="618" spans="1:12" ht="29.25" customHeight="1" x14ac:dyDescent="0.25">
      <c r="A618" s="251" t="s">
        <v>784</v>
      </c>
      <c r="B618" s="260" t="s">
        <v>906</v>
      </c>
      <c r="C618" s="187">
        <v>2023</v>
      </c>
      <c r="D618" s="120">
        <v>0.4</v>
      </c>
      <c r="E618" s="235">
        <v>1</v>
      </c>
      <c r="F618" s="254">
        <v>5</v>
      </c>
      <c r="G618" s="247">
        <v>13.15953</v>
      </c>
      <c r="L618" s="15"/>
    </row>
    <row r="619" spans="1:12" ht="29.25" customHeight="1" x14ac:dyDescent="0.25">
      <c r="A619" s="251" t="s">
        <v>784</v>
      </c>
      <c r="B619" s="260" t="s">
        <v>907</v>
      </c>
      <c r="C619" s="187">
        <v>2023</v>
      </c>
      <c r="D619" s="120">
        <v>0.4</v>
      </c>
      <c r="E619" s="235">
        <v>1</v>
      </c>
      <c r="F619" s="254">
        <v>5</v>
      </c>
      <c r="G619" s="247">
        <v>23.63269</v>
      </c>
      <c r="L619" s="15"/>
    </row>
    <row r="620" spans="1:12" ht="29.25" customHeight="1" x14ac:dyDescent="0.25">
      <c r="A620" s="251" t="s">
        <v>784</v>
      </c>
      <c r="B620" s="260" t="s">
        <v>908</v>
      </c>
      <c r="C620" s="187">
        <v>2023</v>
      </c>
      <c r="D620" s="120">
        <v>0.4</v>
      </c>
      <c r="E620" s="235">
        <v>1</v>
      </c>
      <c r="F620" s="254">
        <v>5</v>
      </c>
      <c r="G620" s="247">
        <v>23.541119999999999</v>
      </c>
      <c r="L620" s="15"/>
    </row>
    <row r="621" spans="1:12" ht="29.25" customHeight="1" x14ac:dyDescent="0.25">
      <c r="A621" s="251" t="s">
        <v>784</v>
      </c>
      <c r="B621" s="260" t="s">
        <v>909</v>
      </c>
      <c r="C621" s="187">
        <v>2023</v>
      </c>
      <c r="D621" s="120">
        <v>0.4</v>
      </c>
      <c r="E621" s="235">
        <v>1</v>
      </c>
      <c r="F621" s="254">
        <v>5</v>
      </c>
      <c r="G621" s="247">
        <v>12.827860000000001</v>
      </c>
      <c r="L621" s="15"/>
    </row>
    <row r="622" spans="1:12" ht="29.25" customHeight="1" x14ac:dyDescent="0.25">
      <c r="A622" s="251" t="s">
        <v>785</v>
      </c>
      <c r="B622" s="260" t="s">
        <v>910</v>
      </c>
      <c r="C622" s="187">
        <v>2023</v>
      </c>
      <c r="D622" s="120">
        <v>0.4</v>
      </c>
      <c r="E622" s="235">
        <v>1</v>
      </c>
      <c r="F622" s="254">
        <v>15</v>
      </c>
      <c r="G622" s="247">
        <v>31.531179999999999</v>
      </c>
      <c r="L622" s="15"/>
    </row>
    <row r="623" spans="1:12" ht="29.25" customHeight="1" x14ac:dyDescent="0.25">
      <c r="A623" s="251" t="s">
        <v>785</v>
      </c>
      <c r="B623" s="260" t="s">
        <v>911</v>
      </c>
      <c r="C623" s="187">
        <v>2023</v>
      </c>
      <c r="D623" s="120">
        <v>0.4</v>
      </c>
      <c r="E623" s="235">
        <v>1</v>
      </c>
      <c r="F623" s="254">
        <v>15</v>
      </c>
      <c r="G623" s="247">
        <v>31.531179999999999</v>
      </c>
      <c r="L623" s="15"/>
    </row>
    <row r="624" spans="1:12" ht="29.25" customHeight="1" x14ac:dyDescent="0.25">
      <c r="A624" s="251" t="s">
        <v>784</v>
      </c>
      <c r="B624" s="260" t="s">
        <v>912</v>
      </c>
      <c r="C624" s="187">
        <v>2023</v>
      </c>
      <c r="D624" s="120">
        <v>0.4</v>
      </c>
      <c r="E624" s="235">
        <v>1</v>
      </c>
      <c r="F624" s="254">
        <v>5</v>
      </c>
      <c r="G624" s="247">
        <v>26.95337</v>
      </c>
      <c r="L624" s="15"/>
    </row>
    <row r="625" spans="1:12" ht="29.25" customHeight="1" x14ac:dyDescent="0.25">
      <c r="A625" s="251" t="s">
        <v>784</v>
      </c>
      <c r="B625" s="260" t="s">
        <v>913</v>
      </c>
      <c r="C625" s="187">
        <v>2023</v>
      </c>
      <c r="D625" s="120">
        <v>0.4</v>
      </c>
      <c r="E625" s="235">
        <v>1</v>
      </c>
      <c r="F625" s="254">
        <v>5</v>
      </c>
      <c r="G625" s="247">
        <v>26.869319999999998</v>
      </c>
      <c r="L625" s="15"/>
    </row>
    <row r="626" spans="1:12" ht="29.25" customHeight="1" x14ac:dyDescent="0.25">
      <c r="A626" s="251" t="s">
        <v>785</v>
      </c>
      <c r="B626" s="260" t="s">
        <v>914</v>
      </c>
      <c r="C626" s="187">
        <v>2023</v>
      </c>
      <c r="D626" s="120">
        <v>0.4</v>
      </c>
      <c r="E626" s="235">
        <v>1</v>
      </c>
      <c r="F626" s="254">
        <v>15</v>
      </c>
      <c r="G626" s="247">
        <v>24.36157</v>
      </c>
      <c r="L626" s="15"/>
    </row>
    <row r="627" spans="1:12" ht="29.25" customHeight="1" x14ac:dyDescent="0.25">
      <c r="A627" s="251" t="s">
        <v>785</v>
      </c>
      <c r="B627" s="260" t="s">
        <v>915</v>
      </c>
      <c r="C627" s="187">
        <v>2023</v>
      </c>
      <c r="D627" s="120">
        <v>0.4</v>
      </c>
      <c r="E627" s="235">
        <v>1</v>
      </c>
      <c r="F627" s="254">
        <v>15</v>
      </c>
      <c r="G627" s="247">
        <v>24.62998</v>
      </c>
      <c r="L627" s="15"/>
    </row>
    <row r="628" spans="1:12" ht="29.25" customHeight="1" x14ac:dyDescent="0.25">
      <c r="A628" s="251" t="s">
        <v>784</v>
      </c>
      <c r="B628" s="260" t="s">
        <v>916</v>
      </c>
      <c r="C628" s="187">
        <v>2023</v>
      </c>
      <c r="D628" s="120">
        <v>0.4</v>
      </c>
      <c r="E628" s="235">
        <v>1</v>
      </c>
      <c r="F628" s="254">
        <v>5</v>
      </c>
      <c r="G628" s="247">
        <v>12.70748</v>
      </c>
      <c r="L628" s="15"/>
    </row>
    <row r="629" spans="1:12" ht="29.25" customHeight="1" x14ac:dyDescent="0.25">
      <c r="A629" s="251" t="s">
        <v>785</v>
      </c>
      <c r="B629" s="260" t="s">
        <v>917</v>
      </c>
      <c r="C629" s="187">
        <v>2023</v>
      </c>
      <c r="D629" s="120">
        <v>0.4</v>
      </c>
      <c r="E629" s="235">
        <v>1</v>
      </c>
      <c r="F629" s="254">
        <v>15</v>
      </c>
      <c r="G629" s="247">
        <v>25.211269999999999</v>
      </c>
      <c r="L629" s="15"/>
    </row>
    <row r="630" spans="1:12" ht="29.25" customHeight="1" x14ac:dyDescent="0.25">
      <c r="A630" s="251" t="s">
        <v>785</v>
      </c>
      <c r="B630" s="260" t="s">
        <v>918</v>
      </c>
      <c r="C630" s="187">
        <v>2023</v>
      </c>
      <c r="D630" s="120">
        <v>0.4</v>
      </c>
      <c r="E630" s="235">
        <v>1</v>
      </c>
      <c r="F630" s="254">
        <v>15</v>
      </c>
      <c r="G630" s="247">
        <v>31.59451</v>
      </c>
      <c r="L630" s="15"/>
    </row>
    <row r="631" spans="1:12" ht="29.25" customHeight="1" x14ac:dyDescent="0.25">
      <c r="A631" s="251" t="s">
        <v>784</v>
      </c>
      <c r="B631" s="260" t="s">
        <v>919</v>
      </c>
      <c r="C631" s="187">
        <v>2023</v>
      </c>
      <c r="D631" s="120">
        <v>0.4</v>
      </c>
      <c r="E631" s="235">
        <v>1</v>
      </c>
      <c r="F631" s="254">
        <v>5</v>
      </c>
      <c r="G631" s="247">
        <v>23.759349999999998</v>
      </c>
      <c r="L631" s="15"/>
    </row>
    <row r="632" spans="1:12" ht="29.25" customHeight="1" x14ac:dyDescent="0.25">
      <c r="A632" s="251" t="s">
        <v>784</v>
      </c>
      <c r="B632" s="260" t="s">
        <v>920</v>
      </c>
      <c r="C632" s="187">
        <v>2023</v>
      </c>
      <c r="D632" s="120">
        <v>0.4</v>
      </c>
      <c r="E632" s="235">
        <v>1</v>
      </c>
      <c r="F632" s="254">
        <v>2.5</v>
      </c>
      <c r="G632" s="247">
        <v>6.06236</v>
      </c>
      <c r="L632" s="15"/>
    </row>
    <row r="633" spans="1:12" ht="29.25" customHeight="1" x14ac:dyDescent="0.25">
      <c r="A633" s="251" t="s">
        <v>784</v>
      </c>
      <c r="B633" s="260" t="s">
        <v>921</v>
      </c>
      <c r="C633" s="187">
        <v>2023</v>
      </c>
      <c r="D633" s="120">
        <v>0.4</v>
      </c>
      <c r="E633" s="235">
        <v>1</v>
      </c>
      <c r="F633" s="254">
        <v>5</v>
      </c>
      <c r="G633" s="247">
        <v>28.286990000000003</v>
      </c>
      <c r="L633" s="15"/>
    </row>
    <row r="634" spans="1:12" ht="29.25" customHeight="1" x14ac:dyDescent="0.25">
      <c r="A634" s="251" t="s">
        <v>785</v>
      </c>
      <c r="B634" s="260" t="s">
        <v>922</v>
      </c>
      <c r="C634" s="187">
        <v>2023</v>
      </c>
      <c r="D634" s="120">
        <v>0.4</v>
      </c>
      <c r="E634" s="235">
        <v>1</v>
      </c>
      <c r="F634" s="254">
        <v>15</v>
      </c>
      <c r="G634" s="247">
        <v>34.613250000000001</v>
      </c>
      <c r="L634" s="15"/>
    </row>
    <row r="635" spans="1:12" ht="29.25" customHeight="1" x14ac:dyDescent="0.25">
      <c r="A635" s="251" t="s">
        <v>784</v>
      </c>
      <c r="B635" s="260" t="s">
        <v>923</v>
      </c>
      <c r="C635" s="187">
        <v>2023</v>
      </c>
      <c r="D635" s="120">
        <v>0.4</v>
      </c>
      <c r="E635" s="235">
        <v>1</v>
      </c>
      <c r="F635" s="254">
        <v>5</v>
      </c>
      <c r="G635" s="247">
        <v>12.711079999999999</v>
      </c>
      <c r="L635" s="15"/>
    </row>
    <row r="636" spans="1:12" ht="29.25" customHeight="1" x14ac:dyDescent="0.25">
      <c r="A636" s="251" t="s">
        <v>784</v>
      </c>
      <c r="B636" s="260" t="s">
        <v>924</v>
      </c>
      <c r="C636" s="187">
        <v>2023</v>
      </c>
      <c r="D636" s="120">
        <v>0.4</v>
      </c>
      <c r="E636" s="235">
        <v>1</v>
      </c>
      <c r="F636" s="254">
        <v>5</v>
      </c>
      <c r="G636" s="247">
        <v>26.80031</v>
      </c>
      <c r="L636" s="15"/>
    </row>
    <row r="637" spans="1:12" ht="29.25" customHeight="1" x14ac:dyDescent="0.25">
      <c r="A637" s="251" t="s">
        <v>784</v>
      </c>
      <c r="B637" s="260" t="s">
        <v>925</v>
      </c>
      <c r="C637" s="187">
        <v>2023</v>
      </c>
      <c r="D637" s="120">
        <v>0.4</v>
      </c>
      <c r="E637" s="235">
        <v>1</v>
      </c>
      <c r="F637" s="254">
        <v>5</v>
      </c>
      <c r="G637" s="247">
        <v>12.73203</v>
      </c>
      <c r="L637" s="15"/>
    </row>
    <row r="638" spans="1:12" ht="29.25" customHeight="1" x14ac:dyDescent="0.25">
      <c r="A638" s="251" t="s">
        <v>785</v>
      </c>
      <c r="B638" s="260" t="s">
        <v>926</v>
      </c>
      <c r="C638" s="187">
        <v>2023</v>
      </c>
      <c r="D638" s="120">
        <v>0.4</v>
      </c>
      <c r="E638" s="235">
        <v>1</v>
      </c>
      <c r="F638" s="254">
        <v>15</v>
      </c>
      <c r="G638" s="247">
        <v>25.10594</v>
      </c>
      <c r="L638" s="15"/>
    </row>
    <row r="639" spans="1:12" ht="29.25" customHeight="1" x14ac:dyDescent="0.25">
      <c r="A639" s="251" t="s">
        <v>784</v>
      </c>
      <c r="B639" s="260" t="s">
        <v>927</v>
      </c>
      <c r="C639" s="187">
        <v>2023</v>
      </c>
      <c r="D639" s="120">
        <v>0.4</v>
      </c>
      <c r="E639" s="235">
        <v>1</v>
      </c>
      <c r="F639" s="254">
        <v>5</v>
      </c>
      <c r="G639" s="247">
        <v>12.870790000000001</v>
      </c>
      <c r="L639" s="15"/>
    </row>
    <row r="640" spans="1:12" ht="29.25" customHeight="1" x14ac:dyDescent="0.25">
      <c r="A640" s="251" t="s">
        <v>784</v>
      </c>
      <c r="B640" s="260" t="s">
        <v>928</v>
      </c>
      <c r="C640" s="187">
        <v>2023</v>
      </c>
      <c r="D640" s="120">
        <v>0.4</v>
      </c>
      <c r="E640" s="235">
        <v>1</v>
      </c>
      <c r="F640" s="254">
        <v>5</v>
      </c>
      <c r="G640" s="247">
        <v>12.870790000000001</v>
      </c>
      <c r="L640" s="15"/>
    </row>
    <row r="641" spans="1:12" ht="29.25" customHeight="1" x14ac:dyDescent="0.25">
      <c r="A641" s="251" t="s">
        <v>784</v>
      </c>
      <c r="B641" s="260" t="s">
        <v>929</v>
      </c>
      <c r="C641" s="187">
        <v>2023</v>
      </c>
      <c r="D641" s="120">
        <v>0.4</v>
      </c>
      <c r="E641" s="235">
        <v>1</v>
      </c>
      <c r="F641" s="254">
        <v>5</v>
      </c>
      <c r="G641" s="247">
        <v>13.308959999999999</v>
      </c>
      <c r="L641" s="15"/>
    </row>
    <row r="642" spans="1:12" ht="29.25" customHeight="1" x14ac:dyDescent="0.25">
      <c r="A642" s="251" t="s">
        <v>784</v>
      </c>
      <c r="B642" s="260" t="s">
        <v>930</v>
      </c>
      <c r="C642" s="187">
        <v>2023</v>
      </c>
      <c r="D642" s="120">
        <v>0.4</v>
      </c>
      <c r="E642" s="235">
        <v>1</v>
      </c>
      <c r="F642" s="254">
        <v>5</v>
      </c>
      <c r="G642" s="247">
        <v>26.728240000000003</v>
      </c>
      <c r="L642" s="15"/>
    </row>
    <row r="643" spans="1:12" ht="29.25" customHeight="1" x14ac:dyDescent="0.25">
      <c r="A643" s="251" t="s">
        <v>784</v>
      </c>
      <c r="B643" s="260" t="s">
        <v>931</v>
      </c>
      <c r="C643" s="187">
        <v>2023</v>
      </c>
      <c r="D643" s="120">
        <v>0.4</v>
      </c>
      <c r="E643" s="235">
        <v>1</v>
      </c>
      <c r="F643" s="254">
        <v>5</v>
      </c>
      <c r="G643" s="247">
        <v>26.869330000000001</v>
      </c>
      <c r="L643" s="15"/>
    </row>
    <row r="644" spans="1:12" ht="29.25" customHeight="1" x14ac:dyDescent="0.25">
      <c r="A644" s="251" t="s">
        <v>784</v>
      </c>
      <c r="B644" s="260" t="s">
        <v>932</v>
      </c>
      <c r="C644" s="187">
        <v>2023</v>
      </c>
      <c r="D644" s="120">
        <v>0.4</v>
      </c>
      <c r="E644" s="235">
        <v>1</v>
      </c>
      <c r="F644" s="254">
        <v>5</v>
      </c>
      <c r="G644" s="247">
        <v>26.505230000000001</v>
      </c>
      <c r="L644" s="15"/>
    </row>
    <row r="645" spans="1:12" ht="29.25" customHeight="1" x14ac:dyDescent="0.25">
      <c r="A645" s="251" t="s">
        <v>784</v>
      </c>
      <c r="B645" s="260" t="s">
        <v>933</v>
      </c>
      <c r="C645" s="187">
        <v>2023</v>
      </c>
      <c r="D645" s="120">
        <v>0.4</v>
      </c>
      <c r="E645" s="235">
        <v>1</v>
      </c>
      <c r="F645" s="254">
        <v>5</v>
      </c>
      <c r="G645" s="247">
        <v>26.695439999999998</v>
      </c>
      <c r="L645" s="15"/>
    </row>
    <row r="646" spans="1:12" ht="29.25" customHeight="1" x14ac:dyDescent="0.25">
      <c r="A646" s="251" t="s">
        <v>784</v>
      </c>
      <c r="B646" s="260" t="s">
        <v>934</v>
      </c>
      <c r="C646" s="187">
        <v>2023</v>
      </c>
      <c r="D646" s="120">
        <v>0.4</v>
      </c>
      <c r="E646" s="235">
        <v>1</v>
      </c>
      <c r="F646" s="254">
        <v>7</v>
      </c>
      <c r="G646" s="247">
        <v>13.1357</v>
      </c>
      <c r="L646" s="15"/>
    </row>
    <row r="647" spans="1:12" ht="29.25" customHeight="1" x14ac:dyDescent="0.25">
      <c r="A647" s="251" t="s">
        <v>784</v>
      </c>
      <c r="B647" s="260" t="s">
        <v>935</v>
      </c>
      <c r="C647" s="187">
        <v>2023</v>
      </c>
      <c r="D647" s="120">
        <v>0.4</v>
      </c>
      <c r="E647" s="235">
        <v>1</v>
      </c>
      <c r="F647" s="254">
        <v>5</v>
      </c>
      <c r="G647" s="247">
        <v>31.96744</v>
      </c>
      <c r="L647" s="15"/>
    </row>
    <row r="648" spans="1:12" ht="29.25" customHeight="1" x14ac:dyDescent="0.25">
      <c r="A648" s="251" t="s">
        <v>785</v>
      </c>
      <c r="B648" s="260" t="s">
        <v>936</v>
      </c>
      <c r="C648" s="187">
        <v>2023</v>
      </c>
      <c r="D648" s="120">
        <v>0.4</v>
      </c>
      <c r="E648" s="235">
        <v>1</v>
      </c>
      <c r="F648" s="254">
        <v>15</v>
      </c>
      <c r="G648" s="247">
        <v>34.28669</v>
      </c>
      <c r="L648" s="15"/>
    </row>
    <row r="649" spans="1:12" ht="29.25" customHeight="1" x14ac:dyDescent="0.25">
      <c r="A649" s="251" t="s">
        <v>785</v>
      </c>
      <c r="B649" s="260" t="s">
        <v>937</v>
      </c>
      <c r="C649" s="187">
        <v>2023</v>
      </c>
      <c r="D649" s="120">
        <v>0.4</v>
      </c>
      <c r="E649" s="235">
        <v>1</v>
      </c>
      <c r="F649" s="254">
        <v>15</v>
      </c>
      <c r="G649" s="247">
        <v>35.580069999999999</v>
      </c>
      <c r="L649" s="15"/>
    </row>
    <row r="650" spans="1:12" ht="29.25" customHeight="1" x14ac:dyDescent="0.25">
      <c r="A650" s="251" t="s">
        <v>785</v>
      </c>
      <c r="B650" s="260" t="s">
        <v>938</v>
      </c>
      <c r="C650" s="187">
        <v>2023</v>
      </c>
      <c r="D650" s="120">
        <v>0.4</v>
      </c>
      <c r="E650" s="235">
        <v>1</v>
      </c>
      <c r="F650" s="254">
        <v>15</v>
      </c>
      <c r="G650" s="247">
        <v>31.52965</v>
      </c>
      <c r="L650" s="15"/>
    </row>
    <row r="651" spans="1:12" ht="29.25" customHeight="1" x14ac:dyDescent="0.25">
      <c r="A651" s="251" t="s">
        <v>784</v>
      </c>
      <c r="B651" s="260" t="s">
        <v>939</v>
      </c>
      <c r="C651" s="187">
        <v>2023</v>
      </c>
      <c r="D651" s="120">
        <v>0.4</v>
      </c>
      <c r="E651" s="235">
        <v>1</v>
      </c>
      <c r="F651" s="254">
        <v>10</v>
      </c>
      <c r="G651" s="247">
        <v>8.9841200000000008</v>
      </c>
      <c r="L651" s="15"/>
    </row>
    <row r="652" spans="1:12" ht="29.25" customHeight="1" x14ac:dyDescent="0.25">
      <c r="A652" s="251" t="s">
        <v>785</v>
      </c>
      <c r="B652" s="260" t="s">
        <v>940</v>
      </c>
      <c r="C652" s="187">
        <v>2023</v>
      </c>
      <c r="D652" s="120">
        <v>0.4</v>
      </c>
      <c r="E652" s="235">
        <v>1</v>
      </c>
      <c r="F652" s="254">
        <v>14</v>
      </c>
      <c r="G652" s="247">
        <v>7.61911</v>
      </c>
      <c r="L652" s="15"/>
    </row>
    <row r="653" spans="1:12" ht="29.25" customHeight="1" x14ac:dyDescent="0.25">
      <c r="A653" s="251" t="s">
        <v>785</v>
      </c>
      <c r="B653" s="260" t="s">
        <v>941</v>
      </c>
      <c r="C653" s="187">
        <v>2023</v>
      </c>
      <c r="D653" s="120">
        <v>0.4</v>
      </c>
      <c r="E653" s="235">
        <v>1</v>
      </c>
      <c r="F653" s="254">
        <v>15</v>
      </c>
      <c r="G653" s="247">
        <v>95.450530000000001</v>
      </c>
      <c r="L653" s="15"/>
    </row>
    <row r="654" spans="1:12" ht="29.25" customHeight="1" x14ac:dyDescent="0.25">
      <c r="A654" s="251" t="s">
        <v>785</v>
      </c>
      <c r="B654" s="260" t="s">
        <v>942</v>
      </c>
      <c r="C654" s="187">
        <v>2023</v>
      </c>
      <c r="D654" s="120">
        <v>0.4</v>
      </c>
      <c r="E654" s="235">
        <v>1</v>
      </c>
      <c r="F654" s="254">
        <v>15</v>
      </c>
      <c r="G654" s="247">
        <v>25.173189999999998</v>
      </c>
      <c r="L654" s="15"/>
    </row>
    <row r="655" spans="1:12" ht="29.25" customHeight="1" x14ac:dyDescent="0.25">
      <c r="A655" s="251" t="s">
        <v>784</v>
      </c>
      <c r="B655" s="260" t="s">
        <v>943</v>
      </c>
      <c r="C655" s="187">
        <v>2023</v>
      </c>
      <c r="D655" s="120">
        <v>0.4</v>
      </c>
      <c r="E655" s="235">
        <v>1</v>
      </c>
      <c r="F655" s="254">
        <v>5</v>
      </c>
      <c r="G655" s="247">
        <v>13.109</v>
      </c>
      <c r="L655" s="15"/>
    </row>
    <row r="656" spans="1:12" ht="29.25" customHeight="1" x14ac:dyDescent="0.25">
      <c r="A656" s="251" t="s">
        <v>785</v>
      </c>
      <c r="B656" s="260" t="s">
        <v>944</v>
      </c>
      <c r="C656" s="187">
        <v>2023</v>
      </c>
      <c r="D656" s="120">
        <v>0.4</v>
      </c>
      <c r="E656" s="235">
        <v>1</v>
      </c>
      <c r="F656" s="254">
        <v>15</v>
      </c>
      <c r="G656" s="247">
        <v>8.8157300000000003</v>
      </c>
      <c r="L656" s="15"/>
    </row>
    <row r="657" spans="1:12" ht="29.25" customHeight="1" x14ac:dyDescent="0.25">
      <c r="A657" s="251" t="s">
        <v>785</v>
      </c>
      <c r="B657" s="260" t="s">
        <v>945</v>
      </c>
      <c r="C657" s="187">
        <v>2023</v>
      </c>
      <c r="D657" s="120">
        <v>0.4</v>
      </c>
      <c r="E657" s="235">
        <v>1</v>
      </c>
      <c r="F657" s="254">
        <v>15</v>
      </c>
      <c r="G657" s="247">
        <v>13.40997</v>
      </c>
      <c r="L657" s="15"/>
    </row>
    <row r="658" spans="1:12" ht="29.25" customHeight="1" x14ac:dyDescent="0.25">
      <c r="A658" s="251" t="s">
        <v>784</v>
      </c>
      <c r="B658" s="260" t="s">
        <v>946</v>
      </c>
      <c r="C658" s="187">
        <v>2023</v>
      </c>
      <c r="D658" s="120">
        <v>0.4</v>
      </c>
      <c r="E658" s="235">
        <v>1</v>
      </c>
      <c r="F658" s="254">
        <v>5</v>
      </c>
      <c r="G658" s="247">
        <v>27.800639999999998</v>
      </c>
      <c r="L658" s="15"/>
    </row>
    <row r="659" spans="1:12" ht="29.25" customHeight="1" x14ac:dyDescent="0.25">
      <c r="A659" s="251" t="s">
        <v>785</v>
      </c>
      <c r="B659" s="260" t="s">
        <v>947</v>
      </c>
      <c r="C659" s="187">
        <v>2023</v>
      </c>
      <c r="D659" s="120">
        <v>0.4</v>
      </c>
      <c r="E659" s="235">
        <v>1</v>
      </c>
      <c r="F659" s="254">
        <v>15</v>
      </c>
      <c r="G659" s="247">
        <v>24.95552</v>
      </c>
      <c r="L659" s="15"/>
    </row>
    <row r="660" spans="1:12" ht="29.25" customHeight="1" x14ac:dyDescent="0.25">
      <c r="A660" s="251" t="s">
        <v>785</v>
      </c>
      <c r="B660" s="260" t="s">
        <v>948</v>
      </c>
      <c r="C660" s="187">
        <v>2023</v>
      </c>
      <c r="D660" s="120">
        <v>0.4</v>
      </c>
      <c r="E660" s="235">
        <v>1</v>
      </c>
      <c r="F660" s="254">
        <v>15</v>
      </c>
      <c r="G660" s="247">
        <v>25.712009999999999</v>
      </c>
      <c r="L660" s="15"/>
    </row>
    <row r="661" spans="1:12" ht="29.25" customHeight="1" x14ac:dyDescent="0.25">
      <c r="A661" s="251" t="s">
        <v>784</v>
      </c>
      <c r="B661" s="261" t="s">
        <v>949</v>
      </c>
      <c r="C661" s="187">
        <v>2023</v>
      </c>
      <c r="D661" s="120">
        <v>0.4</v>
      </c>
      <c r="E661" s="235">
        <v>1</v>
      </c>
      <c r="F661" s="254">
        <v>3</v>
      </c>
      <c r="G661" s="247">
        <v>0</v>
      </c>
      <c r="L661" s="15"/>
    </row>
    <row r="662" spans="1:12" ht="29.25" customHeight="1" x14ac:dyDescent="0.25">
      <c r="A662" s="251" t="s">
        <v>784</v>
      </c>
      <c r="B662" s="261" t="s">
        <v>950</v>
      </c>
      <c r="C662" s="187">
        <v>2023</v>
      </c>
      <c r="D662" s="120">
        <v>0.4</v>
      </c>
      <c r="E662" s="235">
        <v>1</v>
      </c>
      <c r="F662" s="254">
        <v>3</v>
      </c>
      <c r="G662" s="247">
        <v>0</v>
      </c>
      <c r="L662" s="15"/>
    </row>
    <row r="663" spans="1:12" ht="29.25" customHeight="1" x14ac:dyDescent="0.25">
      <c r="A663" s="251" t="s">
        <v>784</v>
      </c>
      <c r="B663" s="257" t="s">
        <v>951</v>
      </c>
      <c r="C663" s="187">
        <v>2023</v>
      </c>
      <c r="D663" s="120">
        <v>0.4</v>
      </c>
      <c r="E663" s="235">
        <v>1</v>
      </c>
      <c r="F663" s="224">
        <v>2</v>
      </c>
      <c r="G663" s="247">
        <v>12.01445</v>
      </c>
      <c r="L663" s="15"/>
    </row>
    <row r="664" spans="1:12" ht="29.25" customHeight="1" x14ac:dyDescent="0.25">
      <c r="A664" s="251" t="s">
        <v>784</v>
      </c>
      <c r="B664" s="257" t="s">
        <v>952</v>
      </c>
      <c r="C664" s="187">
        <v>2023</v>
      </c>
      <c r="D664" s="120">
        <v>0.4</v>
      </c>
      <c r="E664" s="235">
        <v>1</v>
      </c>
      <c r="F664" s="224">
        <v>5</v>
      </c>
      <c r="G664" s="247">
        <v>12.01445</v>
      </c>
      <c r="L664" s="15"/>
    </row>
    <row r="665" spans="1:12" ht="29.25" customHeight="1" x14ac:dyDescent="0.25">
      <c r="A665" s="251" t="s">
        <v>785</v>
      </c>
      <c r="B665" s="257" t="s">
        <v>953</v>
      </c>
      <c r="C665" s="187">
        <v>2023</v>
      </c>
      <c r="D665" s="120">
        <v>0.4</v>
      </c>
      <c r="E665" s="235">
        <v>1</v>
      </c>
      <c r="F665" s="224">
        <v>15</v>
      </c>
      <c r="G665" s="247">
        <v>0</v>
      </c>
      <c r="L665" s="15"/>
    </row>
    <row r="666" spans="1:12" ht="29.25" customHeight="1" x14ac:dyDescent="0.25">
      <c r="A666" s="251" t="s">
        <v>784</v>
      </c>
      <c r="B666" s="257" t="s">
        <v>954</v>
      </c>
      <c r="C666" s="187">
        <v>2023</v>
      </c>
      <c r="D666" s="120">
        <v>0.4</v>
      </c>
      <c r="E666" s="235">
        <v>1</v>
      </c>
      <c r="F666" s="224">
        <v>5</v>
      </c>
      <c r="G666" s="247">
        <v>0</v>
      </c>
      <c r="L666" s="15"/>
    </row>
    <row r="667" spans="1:12" ht="29.25" customHeight="1" x14ac:dyDescent="0.25">
      <c r="A667" s="251" t="s">
        <v>784</v>
      </c>
      <c r="B667" s="257" t="s">
        <v>955</v>
      </c>
      <c r="C667" s="187">
        <v>2023</v>
      </c>
      <c r="D667" s="120">
        <v>0.4</v>
      </c>
      <c r="E667" s="235">
        <v>1</v>
      </c>
      <c r="F667" s="224">
        <v>5</v>
      </c>
      <c r="G667" s="247">
        <v>0</v>
      </c>
      <c r="L667" s="15"/>
    </row>
    <row r="668" spans="1:12" ht="29.25" customHeight="1" x14ac:dyDescent="0.25">
      <c r="A668" s="251" t="s">
        <v>784</v>
      </c>
      <c r="B668" s="257" t="s">
        <v>956</v>
      </c>
      <c r="C668" s="187">
        <v>2023</v>
      </c>
      <c r="D668" s="120">
        <v>0.4</v>
      </c>
      <c r="E668" s="235">
        <v>1</v>
      </c>
      <c r="F668" s="224">
        <v>5</v>
      </c>
      <c r="G668" s="247">
        <v>0</v>
      </c>
      <c r="L668" s="15"/>
    </row>
    <row r="669" spans="1:12" ht="29.25" customHeight="1" x14ac:dyDescent="0.25">
      <c r="A669" s="251" t="s">
        <v>784</v>
      </c>
      <c r="B669" s="257" t="s">
        <v>957</v>
      </c>
      <c r="C669" s="187">
        <v>2023</v>
      </c>
      <c r="D669" s="120">
        <v>0.4</v>
      </c>
      <c r="E669" s="235">
        <v>1</v>
      </c>
      <c r="F669" s="224">
        <v>5</v>
      </c>
      <c r="G669" s="247">
        <v>0</v>
      </c>
      <c r="L669" s="15"/>
    </row>
    <row r="670" spans="1:12" ht="29.25" customHeight="1" x14ac:dyDescent="0.25">
      <c r="A670" s="251" t="s">
        <v>784</v>
      </c>
      <c r="B670" s="257" t="s">
        <v>958</v>
      </c>
      <c r="C670" s="187">
        <v>2023</v>
      </c>
      <c r="D670" s="120">
        <v>0.4</v>
      </c>
      <c r="E670" s="235">
        <v>1</v>
      </c>
      <c r="F670" s="224">
        <v>5</v>
      </c>
      <c r="G670" s="247">
        <v>0</v>
      </c>
      <c r="L670" s="15"/>
    </row>
    <row r="671" spans="1:12" ht="29.25" customHeight="1" x14ac:dyDescent="0.25">
      <c r="A671" s="251" t="s">
        <v>784</v>
      </c>
      <c r="B671" s="257" t="s">
        <v>959</v>
      </c>
      <c r="C671" s="187">
        <v>2023</v>
      </c>
      <c r="D671" s="120">
        <v>0.4</v>
      </c>
      <c r="E671" s="235">
        <v>1</v>
      </c>
      <c r="F671" s="224">
        <v>5</v>
      </c>
      <c r="G671" s="247">
        <v>14.48039</v>
      </c>
      <c r="L671" s="15"/>
    </row>
    <row r="672" spans="1:12" ht="29.25" customHeight="1" x14ac:dyDescent="0.25">
      <c r="A672" s="251" t="s">
        <v>784</v>
      </c>
      <c r="B672" s="257" t="s">
        <v>960</v>
      </c>
      <c r="C672" s="187">
        <v>2023</v>
      </c>
      <c r="D672" s="120">
        <v>0.4</v>
      </c>
      <c r="E672" s="235">
        <v>1</v>
      </c>
      <c r="F672" s="224">
        <v>5</v>
      </c>
      <c r="G672" s="247">
        <v>14.48039</v>
      </c>
      <c r="L672" s="15"/>
    </row>
    <row r="673" spans="1:12" ht="29.25" customHeight="1" x14ac:dyDescent="0.25">
      <c r="A673" s="251" t="s">
        <v>784</v>
      </c>
      <c r="B673" s="257" t="s">
        <v>961</v>
      </c>
      <c r="C673" s="187">
        <v>2023</v>
      </c>
      <c r="D673" s="120">
        <v>0.4</v>
      </c>
      <c r="E673" s="235">
        <v>1</v>
      </c>
      <c r="F673" s="224">
        <v>5</v>
      </c>
      <c r="G673" s="247">
        <v>14.48039</v>
      </c>
      <c r="L673" s="15"/>
    </row>
    <row r="674" spans="1:12" ht="29.25" customHeight="1" x14ac:dyDescent="0.25">
      <c r="A674" s="251" t="s">
        <v>784</v>
      </c>
      <c r="B674" s="257" t="s">
        <v>962</v>
      </c>
      <c r="C674" s="187">
        <v>2023</v>
      </c>
      <c r="D674" s="120">
        <v>0.4</v>
      </c>
      <c r="E674" s="235">
        <v>1</v>
      </c>
      <c r="F674" s="224">
        <v>5</v>
      </c>
      <c r="G674" s="247">
        <v>13.949549999999999</v>
      </c>
      <c r="L674" s="15"/>
    </row>
    <row r="675" spans="1:12" ht="29.25" customHeight="1" x14ac:dyDescent="0.25">
      <c r="A675" s="251" t="s">
        <v>784</v>
      </c>
      <c r="B675" s="257" t="s">
        <v>963</v>
      </c>
      <c r="C675" s="187">
        <v>2023</v>
      </c>
      <c r="D675" s="120">
        <v>0.4</v>
      </c>
      <c r="E675" s="235">
        <v>1</v>
      </c>
      <c r="F675" s="224">
        <v>5</v>
      </c>
      <c r="G675" s="247">
        <v>13.97955</v>
      </c>
      <c r="L675" s="15"/>
    </row>
    <row r="676" spans="1:12" ht="29.25" customHeight="1" x14ac:dyDescent="0.25">
      <c r="A676" s="251" t="s">
        <v>784</v>
      </c>
      <c r="B676" s="257" t="s">
        <v>964</v>
      </c>
      <c r="C676" s="187">
        <v>2023</v>
      </c>
      <c r="D676" s="120">
        <v>0.4</v>
      </c>
      <c r="E676" s="235">
        <v>1</v>
      </c>
      <c r="F676" s="224">
        <v>5</v>
      </c>
      <c r="G676" s="247">
        <v>14.061219999999999</v>
      </c>
      <c r="L676" s="15"/>
    </row>
    <row r="677" spans="1:12" ht="29.25" customHeight="1" x14ac:dyDescent="0.25">
      <c r="A677" s="251" t="s">
        <v>784</v>
      </c>
      <c r="B677" s="257" t="s">
        <v>965</v>
      </c>
      <c r="C677" s="187">
        <v>2023</v>
      </c>
      <c r="D677" s="120">
        <v>0.4</v>
      </c>
      <c r="E677" s="235">
        <v>1</v>
      </c>
      <c r="F677" s="224">
        <v>5</v>
      </c>
      <c r="G677" s="247">
        <v>14.29622</v>
      </c>
      <c r="L677" s="15"/>
    </row>
    <row r="678" spans="1:12" ht="29.25" customHeight="1" x14ac:dyDescent="0.25">
      <c r="A678" s="251" t="s">
        <v>784</v>
      </c>
      <c r="B678" s="257" t="s">
        <v>966</v>
      </c>
      <c r="C678" s="187">
        <v>2023</v>
      </c>
      <c r="D678" s="120">
        <v>0.4</v>
      </c>
      <c r="E678" s="235">
        <v>1</v>
      </c>
      <c r="F678" s="224">
        <v>5</v>
      </c>
      <c r="G678" s="247">
        <v>14.3904</v>
      </c>
      <c r="L678" s="15"/>
    </row>
    <row r="679" spans="1:12" ht="29.25" customHeight="1" x14ac:dyDescent="0.25">
      <c r="A679" s="251" t="s">
        <v>784</v>
      </c>
      <c r="B679" s="257" t="s">
        <v>967</v>
      </c>
      <c r="C679" s="187">
        <v>2023</v>
      </c>
      <c r="D679" s="120">
        <v>0.4</v>
      </c>
      <c r="E679" s="235">
        <v>1</v>
      </c>
      <c r="F679" s="224">
        <v>5</v>
      </c>
      <c r="G679" s="247">
        <v>14.337899999999999</v>
      </c>
      <c r="L679" s="15"/>
    </row>
    <row r="680" spans="1:12" ht="29.25" customHeight="1" x14ac:dyDescent="0.25">
      <c r="A680" s="251" t="s">
        <v>784</v>
      </c>
      <c r="B680" s="257" t="s">
        <v>968</v>
      </c>
      <c r="C680" s="187">
        <v>2023</v>
      </c>
      <c r="D680" s="120">
        <v>0.4</v>
      </c>
      <c r="E680" s="235">
        <v>1</v>
      </c>
      <c r="F680" s="224">
        <v>5</v>
      </c>
      <c r="G680" s="247">
        <v>13.05903</v>
      </c>
      <c r="L680" s="15"/>
    </row>
    <row r="681" spans="1:12" ht="29.25" customHeight="1" x14ac:dyDescent="0.25">
      <c r="A681" s="251" t="s">
        <v>784</v>
      </c>
      <c r="B681" s="257" t="s">
        <v>969</v>
      </c>
      <c r="C681" s="187">
        <v>2023</v>
      </c>
      <c r="D681" s="120">
        <v>0.4</v>
      </c>
      <c r="E681" s="235">
        <v>1</v>
      </c>
      <c r="F681" s="224">
        <v>5</v>
      </c>
      <c r="G681" s="247">
        <v>13.313600000000001</v>
      </c>
      <c r="L681" s="15"/>
    </row>
    <row r="682" spans="1:12" ht="29.25" customHeight="1" x14ac:dyDescent="0.25">
      <c r="A682" s="251" t="s">
        <v>784</v>
      </c>
      <c r="B682" s="257" t="s">
        <v>970</v>
      </c>
      <c r="C682" s="187">
        <v>2023</v>
      </c>
      <c r="D682" s="120">
        <v>0.4</v>
      </c>
      <c r="E682" s="235">
        <v>1</v>
      </c>
      <c r="F682" s="224">
        <v>10</v>
      </c>
      <c r="G682" s="247">
        <v>25.16667</v>
      </c>
      <c r="L682" s="15"/>
    </row>
    <row r="683" spans="1:12" ht="29.25" customHeight="1" x14ac:dyDescent="0.25">
      <c r="A683" s="251" t="s">
        <v>785</v>
      </c>
      <c r="B683" s="257" t="s">
        <v>971</v>
      </c>
      <c r="C683" s="187">
        <v>2023</v>
      </c>
      <c r="D683" s="120">
        <v>0.4</v>
      </c>
      <c r="E683" s="235">
        <v>1</v>
      </c>
      <c r="F683" s="224">
        <v>15</v>
      </c>
      <c r="G683" s="247">
        <v>28.647389999999998</v>
      </c>
      <c r="L683" s="15"/>
    </row>
    <row r="684" spans="1:12" ht="29.25" customHeight="1" x14ac:dyDescent="0.25">
      <c r="A684" s="251" t="s">
        <v>784</v>
      </c>
      <c r="B684" s="257" t="s">
        <v>972</v>
      </c>
      <c r="C684" s="187">
        <v>2023</v>
      </c>
      <c r="D684" s="120">
        <v>0.4</v>
      </c>
      <c r="E684" s="235">
        <v>1</v>
      </c>
      <c r="F684" s="224">
        <v>5</v>
      </c>
      <c r="G684" s="247">
        <v>12.8065</v>
      </c>
      <c r="L684" s="15"/>
    </row>
    <row r="685" spans="1:12" ht="29.25" customHeight="1" x14ac:dyDescent="0.25">
      <c r="A685" s="251" t="s">
        <v>785</v>
      </c>
      <c r="B685" s="257" t="s">
        <v>973</v>
      </c>
      <c r="C685" s="187">
        <v>2023</v>
      </c>
      <c r="D685" s="120">
        <v>0.4</v>
      </c>
      <c r="E685" s="235">
        <v>1</v>
      </c>
      <c r="F685" s="224">
        <v>15</v>
      </c>
      <c r="G685" s="247">
        <v>25.422849999999997</v>
      </c>
      <c r="L685" s="15"/>
    </row>
    <row r="686" spans="1:12" ht="29.25" customHeight="1" x14ac:dyDescent="0.25">
      <c r="A686" s="251" t="s">
        <v>785</v>
      </c>
      <c r="B686" s="257" t="s">
        <v>974</v>
      </c>
      <c r="C686" s="187">
        <v>2023</v>
      </c>
      <c r="D686" s="120">
        <v>0.4</v>
      </c>
      <c r="E686" s="235">
        <v>1</v>
      </c>
      <c r="F686" s="224">
        <v>15</v>
      </c>
      <c r="G686" s="247">
        <v>25.7912</v>
      </c>
      <c r="L686" s="15"/>
    </row>
    <row r="687" spans="1:12" ht="29.25" customHeight="1" x14ac:dyDescent="0.25">
      <c r="A687" s="251" t="s">
        <v>784</v>
      </c>
      <c r="B687" s="257" t="s">
        <v>975</v>
      </c>
      <c r="C687" s="187">
        <v>2023</v>
      </c>
      <c r="D687" s="120">
        <v>0.4</v>
      </c>
      <c r="E687" s="235">
        <v>1</v>
      </c>
      <c r="F687" s="224">
        <v>5</v>
      </c>
      <c r="G687" s="247">
        <v>13.386799999999999</v>
      </c>
      <c r="L687" s="15"/>
    </row>
    <row r="688" spans="1:12" ht="29.25" customHeight="1" x14ac:dyDescent="0.25">
      <c r="A688" s="251" t="s">
        <v>785</v>
      </c>
      <c r="B688" s="257" t="s">
        <v>976</v>
      </c>
      <c r="C688" s="187">
        <v>2023</v>
      </c>
      <c r="D688" s="120">
        <v>0.4</v>
      </c>
      <c r="E688" s="235">
        <v>1</v>
      </c>
      <c r="F688" s="224">
        <v>15</v>
      </c>
      <c r="G688" s="247">
        <v>31.201310000000003</v>
      </c>
      <c r="L688" s="15"/>
    </row>
    <row r="689" spans="1:12" ht="29.25" customHeight="1" x14ac:dyDescent="0.25">
      <c r="A689" s="251" t="s">
        <v>785</v>
      </c>
      <c r="B689" s="257" t="s">
        <v>977</v>
      </c>
      <c r="C689" s="187">
        <v>2023</v>
      </c>
      <c r="D689" s="120">
        <v>0.4</v>
      </c>
      <c r="E689" s="235">
        <v>1</v>
      </c>
      <c r="F689" s="224">
        <v>15</v>
      </c>
      <c r="G689" s="247">
        <v>25.397849999999998</v>
      </c>
      <c r="L689" s="15"/>
    </row>
    <row r="690" spans="1:12" ht="29.25" customHeight="1" x14ac:dyDescent="0.25">
      <c r="A690" s="251" t="s">
        <v>785</v>
      </c>
      <c r="B690" s="257" t="s">
        <v>978</v>
      </c>
      <c r="C690" s="187">
        <v>2023</v>
      </c>
      <c r="D690" s="120">
        <v>0.4</v>
      </c>
      <c r="E690" s="235">
        <v>1</v>
      </c>
      <c r="F690" s="224">
        <v>15</v>
      </c>
      <c r="G690" s="247">
        <v>25.313549999999999</v>
      </c>
      <c r="L690" s="15"/>
    </row>
    <row r="691" spans="1:12" ht="29.25" customHeight="1" x14ac:dyDescent="0.25">
      <c r="A691" s="251" t="s">
        <v>785</v>
      </c>
      <c r="B691" s="257" t="s">
        <v>979</v>
      </c>
      <c r="C691" s="187">
        <v>2023</v>
      </c>
      <c r="D691" s="120">
        <v>0.4</v>
      </c>
      <c r="E691" s="235">
        <v>1</v>
      </c>
      <c r="F691" s="224">
        <v>15</v>
      </c>
      <c r="G691" s="247">
        <v>14.702780000000001</v>
      </c>
      <c r="L691" s="15"/>
    </row>
    <row r="692" spans="1:12" ht="29.25" customHeight="1" x14ac:dyDescent="0.25">
      <c r="A692" s="251" t="s">
        <v>784</v>
      </c>
      <c r="B692" s="257" t="s">
        <v>980</v>
      </c>
      <c r="C692" s="187">
        <v>2023</v>
      </c>
      <c r="D692" s="120">
        <v>0.4</v>
      </c>
      <c r="E692" s="235">
        <v>1</v>
      </c>
      <c r="F692" s="224">
        <v>10</v>
      </c>
      <c r="G692" s="247">
        <v>25.029160000000001</v>
      </c>
      <c r="L692" s="15"/>
    </row>
    <row r="693" spans="1:12" ht="29.25" customHeight="1" x14ac:dyDescent="0.25">
      <c r="A693" s="251" t="s">
        <v>785</v>
      </c>
      <c r="B693" s="257" t="s">
        <v>981</v>
      </c>
      <c r="C693" s="187">
        <v>2023</v>
      </c>
      <c r="D693" s="120">
        <v>0.4</v>
      </c>
      <c r="E693" s="235">
        <v>1</v>
      </c>
      <c r="F693" s="224">
        <v>15</v>
      </c>
      <c r="G693" s="247">
        <v>25.50385</v>
      </c>
      <c r="L693" s="15"/>
    </row>
    <row r="694" spans="1:12" ht="29.25" customHeight="1" x14ac:dyDescent="0.25">
      <c r="A694" s="251" t="s">
        <v>785</v>
      </c>
      <c r="B694" s="257" t="s">
        <v>982</v>
      </c>
      <c r="C694" s="187">
        <v>2023</v>
      </c>
      <c r="D694" s="120">
        <v>0.4</v>
      </c>
      <c r="E694" s="235">
        <v>1</v>
      </c>
      <c r="F694" s="224">
        <v>15</v>
      </c>
      <c r="G694" s="247">
        <v>25.337630000000001</v>
      </c>
      <c r="L694" s="15"/>
    </row>
    <row r="695" spans="1:12" ht="29.25" customHeight="1" x14ac:dyDescent="0.25">
      <c r="A695" s="251" t="s">
        <v>785</v>
      </c>
      <c r="B695" s="257" t="s">
        <v>983</v>
      </c>
      <c r="C695" s="187">
        <v>2023</v>
      </c>
      <c r="D695" s="120">
        <v>0.4</v>
      </c>
      <c r="E695" s="235">
        <v>1</v>
      </c>
      <c r="F695" s="224">
        <v>15</v>
      </c>
      <c r="G695" s="247">
        <v>28.080500000000001</v>
      </c>
      <c r="L695" s="15"/>
    </row>
    <row r="696" spans="1:12" ht="29.25" customHeight="1" x14ac:dyDescent="0.25">
      <c r="A696" s="251" t="s">
        <v>785</v>
      </c>
      <c r="B696" s="257" t="s">
        <v>984</v>
      </c>
      <c r="C696" s="187">
        <v>2023</v>
      </c>
      <c r="D696" s="120">
        <v>0.4</v>
      </c>
      <c r="E696" s="235">
        <v>1</v>
      </c>
      <c r="F696" s="224">
        <v>15</v>
      </c>
      <c r="G696" s="247">
        <v>25.432849999999998</v>
      </c>
      <c r="L696" s="15"/>
    </row>
    <row r="697" spans="1:12" ht="29.25" customHeight="1" x14ac:dyDescent="0.25">
      <c r="A697" s="251" t="s">
        <v>785</v>
      </c>
      <c r="B697" s="257" t="s">
        <v>985</v>
      </c>
      <c r="C697" s="187">
        <v>2023</v>
      </c>
      <c r="D697" s="120">
        <v>0.4</v>
      </c>
      <c r="E697" s="235">
        <v>1</v>
      </c>
      <c r="F697" s="224">
        <v>15</v>
      </c>
      <c r="G697" s="247">
        <v>25.791180000000001</v>
      </c>
      <c r="L697" s="15"/>
    </row>
    <row r="698" spans="1:12" ht="29.25" customHeight="1" x14ac:dyDescent="0.25">
      <c r="A698" s="251" t="s">
        <v>784</v>
      </c>
      <c r="B698" s="257" t="s">
        <v>986</v>
      </c>
      <c r="C698" s="187">
        <v>2023</v>
      </c>
      <c r="D698" s="120">
        <v>0.4</v>
      </c>
      <c r="E698" s="235">
        <v>1</v>
      </c>
      <c r="F698" s="224">
        <v>5</v>
      </c>
      <c r="G698" s="247">
        <v>13.230259999999999</v>
      </c>
      <c r="L698" s="15"/>
    </row>
    <row r="699" spans="1:12" ht="29.25" customHeight="1" x14ac:dyDescent="0.25">
      <c r="A699" s="251" t="s">
        <v>784</v>
      </c>
      <c r="B699" s="257" t="s">
        <v>987</v>
      </c>
      <c r="C699" s="187">
        <v>2023</v>
      </c>
      <c r="D699" s="120">
        <v>0.4</v>
      </c>
      <c r="E699" s="235">
        <v>1</v>
      </c>
      <c r="F699" s="224">
        <v>5</v>
      </c>
      <c r="G699" s="247">
        <v>13.10492</v>
      </c>
      <c r="L699" s="15"/>
    </row>
    <row r="700" spans="1:12" ht="29.25" customHeight="1" x14ac:dyDescent="0.25">
      <c r="A700" s="251" t="s">
        <v>785</v>
      </c>
      <c r="B700" s="257" t="s">
        <v>988</v>
      </c>
      <c r="C700" s="187">
        <v>2023</v>
      </c>
      <c r="D700" s="120">
        <v>0.4</v>
      </c>
      <c r="E700" s="235">
        <v>1</v>
      </c>
      <c r="F700" s="224">
        <v>15</v>
      </c>
      <c r="G700" s="247">
        <v>46.292970000000004</v>
      </c>
      <c r="L700" s="15"/>
    </row>
    <row r="701" spans="1:12" ht="29.25" customHeight="1" x14ac:dyDescent="0.25">
      <c r="A701" s="251" t="s">
        <v>785</v>
      </c>
      <c r="B701" s="257" t="s">
        <v>989</v>
      </c>
      <c r="C701" s="187">
        <v>2023</v>
      </c>
      <c r="D701" s="120">
        <v>0.4</v>
      </c>
      <c r="E701" s="235">
        <v>1</v>
      </c>
      <c r="F701" s="224">
        <v>15</v>
      </c>
      <c r="G701" s="247">
        <v>29.455929999999999</v>
      </c>
      <c r="L701" s="15"/>
    </row>
    <row r="702" spans="1:12" ht="29.25" customHeight="1" x14ac:dyDescent="0.25">
      <c r="A702" s="251" t="s">
        <v>785</v>
      </c>
      <c r="B702" s="257" t="s">
        <v>990</v>
      </c>
      <c r="C702" s="187">
        <v>2023</v>
      </c>
      <c r="D702" s="120">
        <v>0.4</v>
      </c>
      <c r="E702" s="235">
        <v>1</v>
      </c>
      <c r="F702" s="224">
        <v>15</v>
      </c>
      <c r="G702" s="247">
        <v>28.872199999999999</v>
      </c>
      <c r="L702" s="15"/>
    </row>
    <row r="703" spans="1:12" ht="29.25" customHeight="1" x14ac:dyDescent="0.25">
      <c r="A703" s="251" t="s">
        <v>784</v>
      </c>
      <c r="B703" s="257" t="s">
        <v>991</v>
      </c>
      <c r="C703" s="187">
        <v>2023</v>
      </c>
      <c r="D703" s="120">
        <v>0.4</v>
      </c>
      <c r="E703" s="235">
        <v>1</v>
      </c>
      <c r="F703" s="224">
        <v>5</v>
      </c>
      <c r="G703" s="247">
        <v>13.15236</v>
      </c>
      <c r="L703" s="15"/>
    </row>
    <row r="704" spans="1:12" ht="29.25" customHeight="1" x14ac:dyDescent="0.25">
      <c r="A704" s="251" t="s">
        <v>784</v>
      </c>
      <c r="B704" s="257" t="s">
        <v>992</v>
      </c>
      <c r="C704" s="187">
        <v>2023</v>
      </c>
      <c r="D704" s="120">
        <v>0.4</v>
      </c>
      <c r="E704" s="235">
        <v>1</v>
      </c>
      <c r="F704" s="224">
        <v>5</v>
      </c>
      <c r="G704" s="247">
        <v>13.09085</v>
      </c>
      <c r="L704" s="15"/>
    </row>
    <row r="705" spans="1:12" ht="29.25" customHeight="1" x14ac:dyDescent="0.25">
      <c r="A705" s="251" t="s">
        <v>784</v>
      </c>
      <c r="B705" s="257" t="s">
        <v>993</v>
      </c>
      <c r="C705" s="187">
        <v>2023</v>
      </c>
      <c r="D705" s="120">
        <v>0.4</v>
      </c>
      <c r="E705" s="235">
        <v>1</v>
      </c>
      <c r="F705" s="224">
        <v>5</v>
      </c>
      <c r="G705" s="247">
        <v>13.09085</v>
      </c>
      <c r="L705" s="15"/>
    </row>
    <row r="706" spans="1:12" ht="29.25" customHeight="1" x14ac:dyDescent="0.25">
      <c r="A706" s="251" t="s">
        <v>784</v>
      </c>
      <c r="B706" s="257" t="s">
        <v>994</v>
      </c>
      <c r="C706" s="187">
        <v>2023</v>
      </c>
      <c r="D706" s="120">
        <v>0.4</v>
      </c>
      <c r="E706" s="235">
        <v>1</v>
      </c>
      <c r="F706" s="224">
        <v>5</v>
      </c>
      <c r="G706" s="247">
        <v>13.39841</v>
      </c>
      <c r="L706" s="15"/>
    </row>
    <row r="707" spans="1:12" ht="29.25" customHeight="1" x14ac:dyDescent="0.25">
      <c r="A707" s="251" t="s">
        <v>784</v>
      </c>
      <c r="B707" s="257" t="s">
        <v>995</v>
      </c>
      <c r="C707" s="187">
        <v>2023</v>
      </c>
      <c r="D707" s="120">
        <v>0.4</v>
      </c>
      <c r="E707" s="235">
        <v>1</v>
      </c>
      <c r="F707" s="224">
        <v>5</v>
      </c>
      <c r="G707" s="247">
        <v>27.507020000000001</v>
      </c>
      <c r="L707" s="15"/>
    </row>
    <row r="708" spans="1:12" ht="29.25" customHeight="1" x14ac:dyDescent="0.25">
      <c r="A708" s="251" t="s">
        <v>785</v>
      </c>
      <c r="B708" s="257" t="s">
        <v>996</v>
      </c>
      <c r="C708" s="187">
        <v>2023</v>
      </c>
      <c r="D708" s="120">
        <v>0.4</v>
      </c>
      <c r="E708" s="235">
        <v>1</v>
      </c>
      <c r="F708" s="224">
        <v>14</v>
      </c>
      <c r="G708" s="247">
        <v>27.25066</v>
      </c>
      <c r="L708" s="15"/>
    </row>
    <row r="709" spans="1:12" ht="29.25" customHeight="1" x14ac:dyDescent="0.25">
      <c r="A709" s="251" t="s">
        <v>785</v>
      </c>
      <c r="B709" s="262" t="s">
        <v>997</v>
      </c>
      <c r="C709" s="187">
        <v>2023</v>
      </c>
      <c r="D709" s="120">
        <v>0.4</v>
      </c>
      <c r="E709" s="235">
        <v>1</v>
      </c>
      <c r="F709" s="255">
        <v>15</v>
      </c>
      <c r="G709" s="248">
        <v>25.791330000000002</v>
      </c>
      <c r="L709" s="15"/>
    </row>
    <row r="710" spans="1:12" ht="29.25" customHeight="1" x14ac:dyDescent="0.25">
      <c r="A710" s="251" t="s">
        <v>785</v>
      </c>
      <c r="B710" s="257" t="s">
        <v>998</v>
      </c>
      <c r="C710" s="187">
        <v>2023</v>
      </c>
      <c r="D710" s="120">
        <v>0.4</v>
      </c>
      <c r="E710" s="235">
        <v>1</v>
      </c>
      <c r="F710" s="224">
        <v>15</v>
      </c>
      <c r="G710" s="247">
        <v>29.260770000000001</v>
      </c>
      <c r="L710" s="15"/>
    </row>
    <row r="711" spans="1:12" ht="29.25" customHeight="1" thickBot="1" x14ac:dyDescent="0.3">
      <c r="A711" s="252" t="s">
        <v>785</v>
      </c>
      <c r="B711" s="257" t="s">
        <v>999</v>
      </c>
      <c r="C711" s="187">
        <v>2023</v>
      </c>
      <c r="D711" s="120">
        <v>0.4</v>
      </c>
      <c r="E711" s="235">
        <v>1</v>
      </c>
      <c r="F711" s="224">
        <v>15</v>
      </c>
      <c r="G711" s="247">
        <v>7.1308100000000003</v>
      </c>
      <c r="L711" s="15"/>
    </row>
    <row r="712" spans="1:12" ht="29.25" customHeight="1" x14ac:dyDescent="0.25">
      <c r="A712" s="296" t="s">
        <v>784</v>
      </c>
      <c r="B712" s="257" t="s">
        <v>1059</v>
      </c>
      <c r="C712" s="287">
        <v>2023</v>
      </c>
      <c r="D712" s="268">
        <v>0.4</v>
      </c>
      <c r="E712" s="235">
        <v>1</v>
      </c>
      <c r="F712" s="269">
        <v>5</v>
      </c>
      <c r="G712" s="277">
        <v>26.757240000000003</v>
      </c>
      <c r="L712" s="15"/>
    </row>
    <row r="713" spans="1:12" ht="29.25" customHeight="1" x14ac:dyDescent="0.25">
      <c r="A713" s="293" t="s">
        <v>784</v>
      </c>
      <c r="B713" s="257" t="s">
        <v>1060</v>
      </c>
      <c r="C713" s="154">
        <v>2023</v>
      </c>
      <c r="D713" s="120">
        <v>0.4</v>
      </c>
      <c r="E713" s="235">
        <v>1</v>
      </c>
      <c r="F713" s="97">
        <v>5</v>
      </c>
      <c r="G713" s="109">
        <v>26.533930000000002</v>
      </c>
      <c r="L713" s="15"/>
    </row>
    <row r="714" spans="1:12" ht="29.25" customHeight="1" x14ac:dyDescent="0.25">
      <c r="A714" s="293" t="s">
        <v>784</v>
      </c>
      <c r="B714" s="257" t="s">
        <v>1061</v>
      </c>
      <c r="C714" s="154">
        <v>2023</v>
      </c>
      <c r="D714" s="120">
        <v>0.4</v>
      </c>
      <c r="E714" s="235">
        <v>1</v>
      </c>
      <c r="F714" s="97">
        <v>5</v>
      </c>
      <c r="G714" s="109">
        <v>26.619949999999999</v>
      </c>
      <c r="L714" s="15"/>
    </row>
    <row r="715" spans="1:12" ht="29.25" customHeight="1" x14ac:dyDescent="0.25">
      <c r="A715" s="293" t="s">
        <v>784</v>
      </c>
      <c r="B715" s="257" t="s">
        <v>1062</v>
      </c>
      <c r="C715" s="154">
        <v>2023</v>
      </c>
      <c r="D715" s="120">
        <v>0.4</v>
      </c>
      <c r="E715" s="235">
        <v>1</v>
      </c>
      <c r="F715" s="97">
        <v>5</v>
      </c>
      <c r="G715" s="109">
        <v>12.869680000000001</v>
      </c>
      <c r="L715" s="15"/>
    </row>
    <row r="716" spans="1:12" ht="29.25" customHeight="1" x14ac:dyDescent="0.25">
      <c r="A716" s="293" t="s">
        <v>784</v>
      </c>
      <c r="B716" s="257" t="s">
        <v>1063</v>
      </c>
      <c r="C716" s="154">
        <v>2023</v>
      </c>
      <c r="D716" s="120">
        <v>0.4</v>
      </c>
      <c r="E716" s="235">
        <v>1</v>
      </c>
      <c r="F716" s="97">
        <v>5</v>
      </c>
      <c r="G716" s="109">
        <v>12.673299999999999</v>
      </c>
      <c r="L716" s="15"/>
    </row>
    <row r="717" spans="1:12" ht="29.25" customHeight="1" x14ac:dyDescent="0.25">
      <c r="A717" s="293" t="s">
        <v>784</v>
      </c>
      <c r="B717" s="257" t="s">
        <v>1064</v>
      </c>
      <c r="C717" s="154">
        <v>2023</v>
      </c>
      <c r="D717" s="120">
        <v>0.4</v>
      </c>
      <c r="E717" s="235">
        <v>1</v>
      </c>
      <c r="F717" s="97">
        <v>5</v>
      </c>
      <c r="G717" s="109">
        <v>26.47879</v>
      </c>
      <c r="L717" s="15"/>
    </row>
    <row r="718" spans="1:12" ht="29.25" customHeight="1" x14ac:dyDescent="0.25">
      <c r="A718" s="293" t="s">
        <v>784</v>
      </c>
      <c r="B718" s="257" t="s">
        <v>1065</v>
      </c>
      <c r="C718" s="154">
        <v>2023</v>
      </c>
      <c r="D718" s="120">
        <v>0.4</v>
      </c>
      <c r="E718" s="235">
        <v>1</v>
      </c>
      <c r="F718" s="97">
        <v>5</v>
      </c>
      <c r="G718" s="109">
        <v>13.613490000000001</v>
      </c>
      <c r="L718" s="15"/>
    </row>
    <row r="719" spans="1:12" ht="29.25" customHeight="1" x14ac:dyDescent="0.25">
      <c r="A719" s="264" t="s">
        <v>785</v>
      </c>
      <c r="B719" s="257" t="s">
        <v>1066</v>
      </c>
      <c r="C719" s="154">
        <v>2023</v>
      </c>
      <c r="D719" s="120">
        <v>0.4</v>
      </c>
      <c r="E719" s="235">
        <v>1</v>
      </c>
      <c r="F719" s="97">
        <v>15</v>
      </c>
      <c r="G719" s="109">
        <v>32.973279999999995</v>
      </c>
      <c r="L719" s="15"/>
    </row>
    <row r="720" spans="1:12" ht="29.25" customHeight="1" x14ac:dyDescent="0.25">
      <c r="A720" s="293" t="s">
        <v>784</v>
      </c>
      <c r="B720" s="257" t="s">
        <v>1067</v>
      </c>
      <c r="C720" s="154">
        <v>2023</v>
      </c>
      <c r="D720" s="120">
        <v>0.4</v>
      </c>
      <c r="E720" s="235">
        <v>1</v>
      </c>
      <c r="F720" s="97">
        <v>7</v>
      </c>
      <c r="G720" s="109">
        <v>26.43601</v>
      </c>
      <c r="L720" s="15"/>
    </row>
    <row r="721" spans="1:12" ht="29.25" customHeight="1" x14ac:dyDescent="0.25">
      <c r="A721" s="293" t="s">
        <v>784</v>
      </c>
      <c r="B721" s="257" t="s">
        <v>1068</v>
      </c>
      <c r="C721" s="154">
        <v>2023</v>
      </c>
      <c r="D721" s="120">
        <v>0.4</v>
      </c>
      <c r="E721" s="235">
        <v>1</v>
      </c>
      <c r="F721" s="97">
        <v>3</v>
      </c>
      <c r="G721" s="109">
        <v>41.029350000000001</v>
      </c>
      <c r="L721" s="15"/>
    </row>
    <row r="722" spans="1:12" ht="29.25" customHeight="1" x14ac:dyDescent="0.25">
      <c r="A722" s="293" t="s">
        <v>784</v>
      </c>
      <c r="B722" s="257" t="s">
        <v>1069</v>
      </c>
      <c r="C722" s="154">
        <v>2023</v>
      </c>
      <c r="D722" s="120">
        <v>0.4</v>
      </c>
      <c r="E722" s="235">
        <v>1</v>
      </c>
      <c r="F722" s="97">
        <v>5</v>
      </c>
      <c r="G722" s="109">
        <v>20.770060000000001</v>
      </c>
      <c r="L722" s="15"/>
    </row>
    <row r="723" spans="1:12" ht="29.25" customHeight="1" x14ac:dyDescent="0.25">
      <c r="A723" s="293" t="s">
        <v>784</v>
      </c>
      <c r="B723" s="257" t="s">
        <v>1070</v>
      </c>
      <c r="C723" s="120">
        <v>2023</v>
      </c>
      <c r="D723" s="120">
        <v>0.4</v>
      </c>
      <c r="E723" s="235">
        <v>1</v>
      </c>
      <c r="F723" s="97">
        <v>5</v>
      </c>
      <c r="G723" s="109">
        <v>29.522740000000002</v>
      </c>
      <c r="L723" s="15"/>
    </row>
    <row r="724" spans="1:12" ht="29.25" customHeight="1" x14ac:dyDescent="0.25">
      <c r="A724" s="293" t="s">
        <v>784</v>
      </c>
      <c r="B724" s="257" t="s">
        <v>1071</v>
      </c>
      <c r="C724" s="120">
        <v>2023</v>
      </c>
      <c r="D724" s="120">
        <v>0.4</v>
      </c>
      <c r="E724" s="235">
        <v>1</v>
      </c>
      <c r="F724" s="97">
        <v>5</v>
      </c>
      <c r="G724" s="109">
        <v>80.68610000000001</v>
      </c>
      <c r="L724" s="15"/>
    </row>
    <row r="725" spans="1:12" ht="29.25" customHeight="1" x14ac:dyDescent="0.25">
      <c r="A725" s="293" t="s">
        <v>785</v>
      </c>
      <c r="B725" s="257" t="s">
        <v>1073</v>
      </c>
      <c r="C725" s="154">
        <v>2023</v>
      </c>
      <c r="D725" s="120">
        <v>0.4</v>
      </c>
      <c r="E725" s="235">
        <v>1</v>
      </c>
      <c r="F725" s="97">
        <v>25</v>
      </c>
      <c r="G725" s="109">
        <v>17.90485</v>
      </c>
      <c r="L725" s="15"/>
    </row>
    <row r="726" spans="1:12" ht="29.25" customHeight="1" x14ac:dyDescent="0.25">
      <c r="A726" s="293" t="s">
        <v>785</v>
      </c>
      <c r="B726" s="257" t="s">
        <v>1074</v>
      </c>
      <c r="C726" s="154">
        <v>2023</v>
      </c>
      <c r="D726" s="120">
        <v>0.4</v>
      </c>
      <c r="E726" s="235">
        <v>1</v>
      </c>
      <c r="F726" s="97">
        <v>25</v>
      </c>
      <c r="G726" s="109">
        <v>36.480600000000003</v>
      </c>
      <c r="L726" s="15"/>
    </row>
    <row r="727" spans="1:12" ht="29.25" customHeight="1" x14ac:dyDescent="0.25">
      <c r="A727" s="293" t="s">
        <v>785</v>
      </c>
      <c r="B727" s="257" t="s">
        <v>1075</v>
      </c>
      <c r="C727" s="154">
        <v>2023</v>
      </c>
      <c r="D727" s="120">
        <v>0.4</v>
      </c>
      <c r="E727" s="235">
        <v>1</v>
      </c>
      <c r="F727" s="97">
        <v>20</v>
      </c>
      <c r="G727" s="109">
        <v>26.11834</v>
      </c>
      <c r="L727" s="15"/>
    </row>
    <row r="728" spans="1:12" ht="29.25" customHeight="1" x14ac:dyDescent="0.25">
      <c r="A728" s="293" t="s">
        <v>785</v>
      </c>
      <c r="B728" s="257" t="s">
        <v>1076</v>
      </c>
      <c r="C728" s="154">
        <v>2023</v>
      </c>
      <c r="D728" s="120">
        <v>0.4</v>
      </c>
      <c r="E728" s="235">
        <v>1</v>
      </c>
      <c r="F728" s="97">
        <v>30</v>
      </c>
      <c r="G728" s="109">
        <v>34.28669</v>
      </c>
      <c r="L728" s="15"/>
    </row>
    <row r="729" spans="1:12" ht="29.25" customHeight="1" x14ac:dyDescent="0.25">
      <c r="A729" s="293" t="s">
        <v>785</v>
      </c>
      <c r="B729" s="257" t="s">
        <v>1077</v>
      </c>
      <c r="C729" s="154">
        <v>2023</v>
      </c>
      <c r="D729" s="120">
        <v>0.4</v>
      </c>
      <c r="E729" s="235">
        <v>1</v>
      </c>
      <c r="F729" s="97">
        <v>24</v>
      </c>
      <c r="G729" s="109">
        <v>25.712580000000003</v>
      </c>
      <c r="L729" s="15"/>
    </row>
    <row r="730" spans="1:12" ht="29.25" customHeight="1" x14ac:dyDescent="0.25">
      <c r="A730" s="293" t="s">
        <v>785</v>
      </c>
      <c r="B730" s="257" t="s">
        <v>1078</v>
      </c>
      <c r="C730" s="154">
        <v>2023</v>
      </c>
      <c r="D730" s="120">
        <v>0.4</v>
      </c>
      <c r="E730" s="235">
        <v>1</v>
      </c>
      <c r="F730" s="97">
        <v>15</v>
      </c>
      <c r="G730" s="109">
        <v>34.521509999999999</v>
      </c>
      <c r="L730" s="15"/>
    </row>
    <row r="731" spans="1:12" ht="29.25" customHeight="1" x14ac:dyDescent="0.25">
      <c r="A731" s="293" t="s">
        <v>785</v>
      </c>
      <c r="B731" s="257" t="s">
        <v>1079</v>
      </c>
      <c r="C731" s="154">
        <v>2023</v>
      </c>
      <c r="D731" s="120">
        <v>0.4</v>
      </c>
      <c r="E731" s="235">
        <v>1</v>
      </c>
      <c r="F731" s="97">
        <v>15</v>
      </c>
      <c r="G731" s="109">
        <v>95.450530000000001</v>
      </c>
      <c r="L731" s="15"/>
    </row>
    <row r="732" spans="1:12" ht="29.25" customHeight="1" x14ac:dyDescent="0.25">
      <c r="A732" s="293" t="s">
        <v>785</v>
      </c>
      <c r="B732" s="257" t="s">
        <v>1080</v>
      </c>
      <c r="C732" s="154">
        <v>2023</v>
      </c>
      <c r="D732" s="120">
        <v>0.4</v>
      </c>
      <c r="E732" s="235">
        <v>1</v>
      </c>
      <c r="F732" s="97">
        <v>15</v>
      </c>
      <c r="G732" s="109">
        <v>24.5562</v>
      </c>
      <c r="L732" s="15"/>
    </row>
    <row r="733" spans="1:12" ht="29.25" customHeight="1" x14ac:dyDescent="0.25">
      <c r="A733" s="293" t="s">
        <v>785</v>
      </c>
      <c r="B733" s="257" t="s">
        <v>1081</v>
      </c>
      <c r="C733" s="154">
        <v>2023</v>
      </c>
      <c r="D733" s="120">
        <v>0.4</v>
      </c>
      <c r="E733" s="235">
        <v>1</v>
      </c>
      <c r="F733" s="97">
        <v>15</v>
      </c>
      <c r="G733" s="109">
        <v>24.62678</v>
      </c>
      <c r="L733" s="15"/>
    </row>
    <row r="734" spans="1:12" ht="29.25" customHeight="1" x14ac:dyDescent="0.25">
      <c r="A734" s="293" t="s">
        <v>785</v>
      </c>
      <c r="B734" s="257" t="s">
        <v>1082</v>
      </c>
      <c r="C734" s="154">
        <v>2023</v>
      </c>
      <c r="D734" s="120">
        <v>0.4</v>
      </c>
      <c r="E734" s="235">
        <v>1</v>
      </c>
      <c r="F734" s="97">
        <v>15</v>
      </c>
      <c r="G734" s="109">
        <v>46.62115</v>
      </c>
      <c r="L734" s="15"/>
    </row>
    <row r="735" spans="1:12" ht="29.25" customHeight="1" x14ac:dyDescent="0.25">
      <c r="A735" s="293" t="s">
        <v>785</v>
      </c>
      <c r="B735" s="257" t="s">
        <v>1083</v>
      </c>
      <c r="C735" s="154">
        <v>2023</v>
      </c>
      <c r="D735" s="120">
        <v>0.4</v>
      </c>
      <c r="E735" s="235">
        <v>1</v>
      </c>
      <c r="F735" s="97">
        <v>15</v>
      </c>
      <c r="G735" s="109">
        <v>98.943350000000009</v>
      </c>
      <c r="L735" s="15"/>
    </row>
    <row r="736" spans="1:12" ht="29.25" customHeight="1" x14ac:dyDescent="0.25">
      <c r="A736" s="293" t="s">
        <v>785</v>
      </c>
      <c r="B736" s="257" t="s">
        <v>1084</v>
      </c>
      <c r="C736" s="154">
        <v>2023</v>
      </c>
      <c r="D736" s="120">
        <v>0.4</v>
      </c>
      <c r="E736" s="235">
        <v>1</v>
      </c>
      <c r="F736" s="97">
        <v>15</v>
      </c>
      <c r="G736" s="109">
        <v>24.214549999999999</v>
      </c>
      <c r="L736" s="15"/>
    </row>
    <row r="737" spans="1:12" ht="29.25" customHeight="1" x14ac:dyDescent="0.25">
      <c r="A737" s="294" t="s">
        <v>785</v>
      </c>
      <c r="B737" s="257" t="s">
        <v>1085</v>
      </c>
      <c r="C737" s="154">
        <v>2023</v>
      </c>
      <c r="D737" s="120">
        <v>0.4</v>
      </c>
      <c r="E737" s="235">
        <v>1</v>
      </c>
      <c r="F737" s="250">
        <v>15</v>
      </c>
      <c r="G737" s="109">
        <v>44.55106</v>
      </c>
      <c r="L737" s="15"/>
    </row>
    <row r="738" spans="1:12" ht="29.25" customHeight="1" x14ac:dyDescent="0.25">
      <c r="A738" s="293" t="s">
        <v>785</v>
      </c>
      <c r="B738" s="257" t="s">
        <v>1086</v>
      </c>
      <c r="C738" s="154">
        <v>2023</v>
      </c>
      <c r="D738" s="120">
        <v>0.4</v>
      </c>
      <c r="E738" s="235">
        <v>1</v>
      </c>
      <c r="F738" s="250">
        <v>15</v>
      </c>
      <c r="G738" s="109">
        <v>30.339669999999998</v>
      </c>
      <c r="L738" s="15"/>
    </row>
    <row r="739" spans="1:12" ht="29.25" customHeight="1" x14ac:dyDescent="0.25">
      <c r="A739" s="294" t="s">
        <v>785</v>
      </c>
      <c r="B739" s="257" t="s">
        <v>1087</v>
      </c>
      <c r="C739" s="154">
        <v>2023</v>
      </c>
      <c r="D739" s="120">
        <v>0.4</v>
      </c>
      <c r="E739" s="235">
        <v>1</v>
      </c>
      <c r="F739" s="250">
        <v>15</v>
      </c>
      <c r="G739" s="109">
        <v>36.851690000000005</v>
      </c>
      <c r="L739" s="15"/>
    </row>
    <row r="740" spans="1:12" ht="29.25" customHeight="1" x14ac:dyDescent="0.25">
      <c r="A740" s="293" t="s">
        <v>785</v>
      </c>
      <c r="B740" s="257" t="s">
        <v>1088</v>
      </c>
      <c r="C740" s="154">
        <v>2023</v>
      </c>
      <c r="D740" s="120">
        <v>0.4</v>
      </c>
      <c r="E740" s="235">
        <v>1</v>
      </c>
      <c r="F740" s="250">
        <v>10</v>
      </c>
      <c r="G740" s="290">
        <v>25.712580000000003</v>
      </c>
      <c r="L740" s="15"/>
    </row>
    <row r="741" spans="1:12" ht="29.25" customHeight="1" x14ac:dyDescent="0.25">
      <c r="A741" s="293" t="s">
        <v>785</v>
      </c>
      <c r="B741" s="257" t="s">
        <v>1089</v>
      </c>
      <c r="C741" s="154">
        <v>2023</v>
      </c>
      <c r="D741" s="120">
        <v>0.4</v>
      </c>
      <c r="E741" s="235">
        <v>1</v>
      </c>
      <c r="F741" s="250">
        <v>10</v>
      </c>
      <c r="G741" s="290">
        <v>30.59674</v>
      </c>
      <c r="L741" s="15"/>
    </row>
    <row r="742" spans="1:12" ht="29.25" customHeight="1" x14ac:dyDescent="0.25">
      <c r="A742" s="293" t="s">
        <v>785</v>
      </c>
      <c r="B742" s="257" t="s">
        <v>1090</v>
      </c>
      <c r="C742" s="154">
        <v>2023</v>
      </c>
      <c r="D742" s="120">
        <v>0.4</v>
      </c>
      <c r="E742" s="235">
        <v>1</v>
      </c>
      <c r="F742" s="250">
        <v>15</v>
      </c>
      <c r="G742" s="290">
        <v>37.942430000000002</v>
      </c>
      <c r="L742" s="15"/>
    </row>
    <row r="743" spans="1:12" ht="29.25" customHeight="1" x14ac:dyDescent="0.25">
      <c r="A743" s="293" t="s">
        <v>785</v>
      </c>
      <c r="B743" s="257" t="s">
        <v>1091</v>
      </c>
      <c r="C743" s="154">
        <v>2023</v>
      </c>
      <c r="D743" s="120">
        <v>0.4</v>
      </c>
      <c r="E743" s="235">
        <v>1</v>
      </c>
      <c r="F743" s="250">
        <v>15</v>
      </c>
      <c r="G743" s="290">
        <v>25.12622</v>
      </c>
      <c r="L743" s="15"/>
    </row>
    <row r="744" spans="1:12" ht="29.25" customHeight="1" x14ac:dyDescent="0.25">
      <c r="A744" s="293" t="s">
        <v>785</v>
      </c>
      <c r="B744" s="257" t="s">
        <v>1092</v>
      </c>
      <c r="C744" s="154">
        <v>2023</v>
      </c>
      <c r="D744" s="120">
        <v>0.4</v>
      </c>
      <c r="E744" s="235">
        <v>1</v>
      </c>
      <c r="F744" s="97">
        <v>15</v>
      </c>
      <c r="G744" s="288">
        <v>37.334009999999999</v>
      </c>
      <c r="L744" s="15"/>
    </row>
    <row r="745" spans="1:12" ht="29.25" customHeight="1" x14ac:dyDescent="0.25">
      <c r="A745" s="293" t="s">
        <v>785</v>
      </c>
      <c r="B745" s="257" t="s">
        <v>1093</v>
      </c>
      <c r="C745" s="154">
        <v>2023</v>
      </c>
      <c r="D745" s="120">
        <v>0.4</v>
      </c>
      <c r="E745" s="235">
        <v>1</v>
      </c>
      <c r="F745" s="97">
        <v>15</v>
      </c>
      <c r="G745" s="288">
        <v>24.018720000000002</v>
      </c>
      <c r="L745" s="15"/>
    </row>
    <row r="746" spans="1:12" ht="29.25" customHeight="1" x14ac:dyDescent="0.25">
      <c r="A746" s="264" t="s">
        <v>784</v>
      </c>
      <c r="B746" s="257" t="s">
        <v>1094</v>
      </c>
      <c r="C746" s="154">
        <v>2023</v>
      </c>
      <c r="D746" s="120">
        <v>0.4</v>
      </c>
      <c r="E746" s="235">
        <v>1</v>
      </c>
      <c r="F746" s="97">
        <v>5</v>
      </c>
      <c r="G746" s="288">
        <v>22</v>
      </c>
      <c r="L746" s="15"/>
    </row>
    <row r="747" spans="1:12" ht="29.25" customHeight="1" x14ac:dyDescent="0.25">
      <c r="A747" s="293" t="s">
        <v>785</v>
      </c>
      <c r="B747" s="257" t="s">
        <v>1095</v>
      </c>
      <c r="C747" s="154">
        <v>2023</v>
      </c>
      <c r="D747" s="120">
        <v>0.4</v>
      </c>
      <c r="E747" s="235">
        <v>1</v>
      </c>
      <c r="F747" s="97">
        <v>15</v>
      </c>
      <c r="G747" s="288">
        <v>30.87191</v>
      </c>
      <c r="L747" s="15"/>
    </row>
    <row r="748" spans="1:12" ht="29.25" customHeight="1" x14ac:dyDescent="0.25">
      <c r="A748" s="293" t="s">
        <v>785</v>
      </c>
      <c r="B748" s="257" t="s">
        <v>1096</v>
      </c>
      <c r="C748" s="154">
        <v>2023</v>
      </c>
      <c r="D748" s="120">
        <v>0.4</v>
      </c>
      <c r="E748" s="235">
        <v>1</v>
      </c>
      <c r="F748" s="97">
        <v>15</v>
      </c>
      <c r="G748" s="288">
        <v>23.731759999999998</v>
      </c>
      <c r="L748" s="15"/>
    </row>
    <row r="749" spans="1:12" ht="29.25" customHeight="1" x14ac:dyDescent="0.25">
      <c r="A749" s="293" t="s">
        <v>785</v>
      </c>
      <c r="B749" s="257" t="s">
        <v>1097</v>
      </c>
      <c r="C749" s="154">
        <v>2023</v>
      </c>
      <c r="D749" s="120">
        <v>0.4</v>
      </c>
      <c r="E749" s="235">
        <v>1</v>
      </c>
      <c r="F749" s="97">
        <v>15</v>
      </c>
      <c r="G749" s="288">
        <v>25.422840000000001</v>
      </c>
      <c r="L749" s="15"/>
    </row>
    <row r="750" spans="1:12" ht="29.25" customHeight="1" x14ac:dyDescent="0.25">
      <c r="A750" s="293" t="s">
        <v>785</v>
      </c>
      <c r="B750" s="257" t="s">
        <v>1097</v>
      </c>
      <c r="C750" s="154">
        <v>2023</v>
      </c>
      <c r="D750" s="120">
        <v>0.4</v>
      </c>
      <c r="E750" s="235">
        <v>1</v>
      </c>
      <c r="F750" s="97">
        <v>15</v>
      </c>
      <c r="G750" s="288">
        <v>25.422840000000001</v>
      </c>
      <c r="L750" s="15"/>
    </row>
    <row r="751" spans="1:12" ht="29.25" customHeight="1" x14ac:dyDescent="0.25">
      <c r="A751" s="264" t="s">
        <v>784</v>
      </c>
      <c r="B751" s="257" t="s">
        <v>1098</v>
      </c>
      <c r="C751" s="154">
        <v>2023</v>
      </c>
      <c r="D751" s="120">
        <v>0.4</v>
      </c>
      <c r="E751" s="235">
        <v>1</v>
      </c>
      <c r="F751" s="97">
        <v>5</v>
      </c>
      <c r="G751" s="288">
        <v>43.325069999999997</v>
      </c>
      <c r="L751" s="15"/>
    </row>
    <row r="752" spans="1:12" ht="29.25" customHeight="1" x14ac:dyDescent="0.25">
      <c r="A752" s="293" t="s">
        <v>785</v>
      </c>
      <c r="B752" s="257" t="s">
        <v>1099</v>
      </c>
      <c r="C752" s="154">
        <v>2023</v>
      </c>
      <c r="D752" s="120">
        <v>0.4</v>
      </c>
      <c r="E752" s="235">
        <v>1</v>
      </c>
      <c r="F752" s="97">
        <v>15</v>
      </c>
      <c r="G752" s="288">
        <v>46.792470000000002</v>
      </c>
      <c r="L752" s="15"/>
    </row>
    <row r="753" spans="1:12" ht="29.25" customHeight="1" x14ac:dyDescent="0.25">
      <c r="A753" s="293" t="s">
        <v>785</v>
      </c>
      <c r="B753" s="257" t="s">
        <v>1100</v>
      </c>
      <c r="C753" s="154">
        <v>2023</v>
      </c>
      <c r="D753" s="120">
        <v>0.4</v>
      </c>
      <c r="E753" s="235">
        <v>1</v>
      </c>
      <c r="F753" s="97">
        <v>15</v>
      </c>
      <c r="G753" s="288">
        <v>45.8</v>
      </c>
      <c r="L753" s="15"/>
    </row>
    <row r="754" spans="1:12" ht="29.25" customHeight="1" x14ac:dyDescent="0.25">
      <c r="A754" s="293" t="s">
        <v>785</v>
      </c>
      <c r="B754" s="257" t="s">
        <v>1101</v>
      </c>
      <c r="C754" s="154">
        <v>2023</v>
      </c>
      <c r="D754" s="120">
        <v>0.4</v>
      </c>
      <c r="E754" s="235">
        <v>1</v>
      </c>
      <c r="F754" s="270">
        <v>8</v>
      </c>
      <c r="G754" s="288">
        <v>34.62941</v>
      </c>
      <c r="L754" s="15"/>
    </row>
    <row r="755" spans="1:12" ht="29.25" customHeight="1" x14ac:dyDescent="0.25">
      <c r="A755" s="293" t="s">
        <v>786</v>
      </c>
      <c r="B755" s="257" t="s">
        <v>1102</v>
      </c>
      <c r="C755" s="154">
        <v>2023</v>
      </c>
      <c r="D755" s="120">
        <v>0.4</v>
      </c>
      <c r="E755" s="235">
        <v>1</v>
      </c>
      <c r="F755" s="97">
        <v>141.49</v>
      </c>
      <c r="G755" s="288">
        <v>90.335080000000005</v>
      </c>
      <c r="L755" s="15"/>
    </row>
    <row r="756" spans="1:12" ht="29.25" customHeight="1" x14ac:dyDescent="0.25">
      <c r="A756" s="293" t="s">
        <v>786</v>
      </c>
      <c r="B756" s="257" t="s">
        <v>1103</v>
      </c>
      <c r="C756" s="154">
        <v>2023</v>
      </c>
      <c r="D756" s="120">
        <v>0.4</v>
      </c>
      <c r="E756" s="235">
        <v>1</v>
      </c>
      <c r="F756" s="97">
        <v>140</v>
      </c>
      <c r="G756" s="288">
        <v>79.718759999999989</v>
      </c>
      <c r="L756" s="15"/>
    </row>
    <row r="757" spans="1:12" ht="29.25" customHeight="1" x14ac:dyDescent="0.25">
      <c r="A757" s="293" t="s">
        <v>786</v>
      </c>
      <c r="B757" s="257" t="s">
        <v>1104</v>
      </c>
      <c r="C757" s="154">
        <v>2023</v>
      </c>
      <c r="D757" s="120">
        <v>0.4</v>
      </c>
      <c r="E757" s="235">
        <v>1</v>
      </c>
      <c r="F757" s="97">
        <v>70</v>
      </c>
      <c r="G757" s="288">
        <v>41.427230000000002</v>
      </c>
      <c r="L757" s="15"/>
    </row>
    <row r="758" spans="1:12" ht="29.25" customHeight="1" x14ac:dyDescent="0.25">
      <c r="A758" s="293" t="s">
        <v>786</v>
      </c>
      <c r="B758" s="257" t="s">
        <v>1101</v>
      </c>
      <c r="C758" s="154">
        <v>2023</v>
      </c>
      <c r="D758" s="120">
        <v>0.4</v>
      </c>
      <c r="E758" s="235">
        <v>1</v>
      </c>
      <c r="F758" s="97">
        <v>35</v>
      </c>
      <c r="G758" s="288">
        <v>34.62941</v>
      </c>
      <c r="L758" s="15"/>
    </row>
    <row r="759" spans="1:12" ht="29.25" customHeight="1" x14ac:dyDescent="0.25">
      <c r="A759" s="293" t="s">
        <v>786</v>
      </c>
      <c r="B759" s="257" t="s">
        <v>1105</v>
      </c>
      <c r="C759" s="154">
        <v>2023</v>
      </c>
      <c r="D759" s="120">
        <v>0.4</v>
      </c>
      <c r="E759" s="235">
        <v>1</v>
      </c>
      <c r="F759" s="97">
        <v>130</v>
      </c>
      <c r="G759" s="288">
        <v>15.37355</v>
      </c>
      <c r="L759" s="15"/>
    </row>
    <row r="760" spans="1:12" ht="29.25" customHeight="1" x14ac:dyDescent="0.25">
      <c r="A760" s="293" t="s">
        <v>786</v>
      </c>
      <c r="B760" s="257" t="s">
        <v>1106</v>
      </c>
      <c r="C760" s="154">
        <v>2023</v>
      </c>
      <c r="D760" s="120">
        <v>0.4</v>
      </c>
      <c r="E760" s="235">
        <v>1</v>
      </c>
      <c r="F760" s="97">
        <v>100</v>
      </c>
      <c r="G760" s="288">
        <v>35.668610000000001</v>
      </c>
      <c r="L760" s="15"/>
    </row>
    <row r="761" spans="1:12" ht="29.25" customHeight="1" x14ac:dyDescent="0.25">
      <c r="A761" s="294" t="s">
        <v>786</v>
      </c>
      <c r="B761" s="257" t="s">
        <v>1107</v>
      </c>
      <c r="C761" s="120">
        <v>2023</v>
      </c>
      <c r="D761" s="120">
        <v>0.4</v>
      </c>
      <c r="E761" s="235">
        <v>1</v>
      </c>
      <c r="F761" s="97">
        <v>100</v>
      </c>
      <c r="G761" s="109">
        <v>39.085279999999997</v>
      </c>
      <c r="L761" s="15"/>
    </row>
    <row r="762" spans="1:12" ht="29.25" customHeight="1" x14ac:dyDescent="0.25">
      <c r="A762" s="109" t="s">
        <v>786</v>
      </c>
      <c r="B762" s="257" t="s">
        <v>1108</v>
      </c>
      <c r="C762" s="120">
        <v>2023</v>
      </c>
      <c r="D762" s="120">
        <v>0.4</v>
      </c>
      <c r="E762" s="120">
        <v>1</v>
      </c>
      <c r="F762" s="270">
        <v>150</v>
      </c>
      <c r="G762" s="109">
        <v>21.233029999999999</v>
      </c>
      <c r="L762" s="15"/>
    </row>
    <row r="763" spans="1:12" ht="29.25" customHeight="1" x14ac:dyDescent="0.25">
      <c r="A763" s="109" t="s">
        <v>786</v>
      </c>
      <c r="B763" s="257" t="s">
        <v>1114</v>
      </c>
      <c r="C763" s="357">
        <v>2024</v>
      </c>
      <c r="D763" s="120">
        <v>0.4</v>
      </c>
      <c r="E763" s="120">
        <v>2</v>
      </c>
      <c r="F763" s="12">
        <v>214.3</v>
      </c>
      <c r="G763" s="109">
        <v>78.204309999999992</v>
      </c>
      <c r="L763" s="15"/>
    </row>
    <row r="764" spans="1:12" ht="29.25" customHeight="1" x14ac:dyDescent="0.25">
      <c r="A764" s="308" t="s">
        <v>785</v>
      </c>
      <c r="B764" s="260" t="s">
        <v>1115</v>
      </c>
      <c r="C764" s="372">
        <v>2024</v>
      </c>
      <c r="D764" s="249">
        <v>0.4</v>
      </c>
      <c r="E764" s="300">
        <v>1</v>
      </c>
      <c r="F764" s="301">
        <v>15</v>
      </c>
      <c r="G764" s="244">
        <v>30.61281</v>
      </c>
      <c r="L764" s="15"/>
    </row>
    <row r="765" spans="1:12" ht="29.25" customHeight="1" x14ac:dyDescent="0.25">
      <c r="A765" s="308" t="s">
        <v>785</v>
      </c>
      <c r="B765" s="260" t="s">
        <v>1116</v>
      </c>
      <c r="C765" s="372">
        <v>2024</v>
      </c>
      <c r="D765" s="249">
        <v>0.4</v>
      </c>
      <c r="E765" s="300">
        <v>1</v>
      </c>
      <c r="F765" s="301">
        <v>15</v>
      </c>
      <c r="G765" s="244">
        <v>23.986349999999998</v>
      </c>
      <c r="L765" s="15"/>
    </row>
    <row r="766" spans="1:12" ht="29.25" customHeight="1" x14ac:dyDescent="0.25">
      <c r="A766" s="308" t="s">
        <v>785</v>
      </c>
      <c r="B766" s="260" t="s">
        <v>1117</v>
      </c>
      <c r="C766" s="372">
        <v>2024</v>
      </c>
      <c r="D766" s="249">
        <v>0.4</v>
      </c>
      <c r="E766" s="300">
        <v>1</v>
      </c>
      <c r="F766" s="301">
        <v>25</v>
      </c>
      <c r="G766" s="244">
        <v>13.00413</v>
      </c>
      <c r="L766" s="15"/>
    </row>
    <row r="767" spans="1:12" ht="29.25" customHeight="1" x14ac:dyDescent="0.25">
      <c r="A767" s="308" t="s">
        <v>784</v>
      </c>
      <c r="B767" s="260" t="s">
        <v>1118</v>
      </c>
      <c r="C767" s="372">
        <v>2024</v>
      </c>
      <c r="D767" s="249">
        <v>0.4</v>
      </c>
      <c r="E767" s="300">
        <v>1</v>
      </c>
      <c r="F767" s="301">
        <v>5</v>
      </c>
      <c r="G767" s="244">
        <v>23.811709999999998</v>
      </c>
      <c r="L767" s="15"/>
    </row>
    <row r="768" spans="1:12" ht="29.25" customHeight="1" x14ac:dyDescent="0.25">
      <c r="A768" s="308" t="s">
        <v>785</v>
      </c>
      <c r="B768" s="260" t="s">
        <v>1119</v>
      </c>
      <c r="C768" s="372">
        <v>2024</v>
      </c>
      <c r="D768" s="249">
        <v>0.4</v>
      </c>
      <c r="E768" s="300">
        <v>1</v>
      </c>
      <c r="F768" s="301">
        <v>15</v>
      </c>
      <c r="G768" s="244">
        <v>31.511710000000001</v>
      </c>
      <c r="L768" s="15"/>
    </row>
    <row r="769" spans="1:12" ht="29.25" customHeight="1" x14ac:dyDescent="0.25">
      <c r="A769" s="308" t="s">
        <v>784</v>
      </c>
      <c r="B769" s="260" t="s">
        <v>1120</v>
      </c>
      <c r="C769" s="372">
        <v>2024</v>
      </c>
      <c r="D769" s="249">
        <v>0.4</v>
      </c>
      <c r="E769" s="300">
        <v>1</v>
      </c>
      <c r="F769" s="301">
        <v>5</v>
      </c>
      <c r="G769" s="244">
        <v>17.988659999999999</v>
      </c>
      <c r="L769" s="15"/>
    </row>
    <row r="770" spans="1:12" ht="29.25" customHeight="1" x14ac:dyDescent="0.25">
      <c r="A770" s="308" t="s">
        <v>785</v>
      </c>
      <c r="B770" s="260" t="s">
        <v>1121</v>
      </c>
      <c r="C770" s="372">
        <v>2024</v>
      </c>
      <c r="D770" s="249">
        <v>0.4</v>
      </c>
      <c r="E770" s="300">
        <v>1</v>
      </c>
      <c r="F770" s="301">
        <v>15</v>
      </c>
      <c r="G770" s="244">
        <v>34.695779999999999</v>
      </c>
      <c r="L770" s="15"/>
    </row>
    <row r="771" spans="1:12" ht="29.25" customHeight="1" x14ac:dyDescent="0.25">
      <c r="A771" s="308" t="s">
        <v>785</v>
      </c>
      <c r="B771" s="260" t="s">
        <v>1122</v>
      </c>
      <c r="C771" s="372">
        <v>2024</v>
      </c>
      <c r="D771" s="249">
        <v>0.4</v>
      </c>
      <c r="E771" s="300">
        <v>1</v>
      </c>
      <c r="F771" s="301">
        <v>15</v>
      </c>
      <c r="G771" s="244">
        <v>31.03426</v>
      </c>
      <c r="L771" s="15"/>
    </row>
    <row r="772" spans="1:12" ht="29.25" customHeight="1" x14ac:dyDescent="0.25">
      <c r="A772" s="308" t="s">
        <v>785</v>
      </c>
      <c r="B772" s="260" t="s">
        <v>1123</v>
      </c>
      <c r="C772" s="372">
        <v>2024</v>
      </c>
      <c r="D772" s="249">
        <v>0.4</v>
      </c>
      <c r="E772" s="300">
        <v>1</v>
      </c>
      <c r="F772" s="301">
        <v>15</v>
      </c>
      <c r="G772" s="244">
        <v>30.497610000000002</v>
      </c>
      <c r="L772" s="15"/>
    </row>
    <row r="773" spans="1:12" ht="29.25" customHeight="1" x14ac:dyDescent="0.25">
      <c r="A773" s="308" t="s">
        <v>785</v>
      </c>
      <c r="B773" s="260" t="s">
        <v>1124</v>
      </c>
      <c r="C773" s="372">
        <v>2024</v>
      </c>
      <c r="D773" s="249">
        <v>0.4</v>
      </c>
      <c r="E773" s="300">
        <v>1</v>
      </c>
      <c r="F773" s="301">
        <v>15</v>
      </c>
      <c r="G773" s="244">
        <v>30.497610000000002</v>
      </c>
      <c r="L773" s="15"/>
    </row>
    <row r="774" spans="1:12" ht="29.25" customHeight="1" x14ac:dyDescent="0.25">
      <c r="A774" s="308" t="s">
        <v>784</v>
      </c>
      <c r="B774" s="260" t="s">
        <v>1125</v>
      </c>
      <c r="C774" s="372">
        <v>2024</v>
      </c>
      <c r="D774" s="249">
        <v>0.4</v>
      </c>
      <c r="E774" s="300">
        <v>1</v>
      </c>
      <c r="F774" s="301">
        <v>5</v>
      </c>
      <c r="G774" s="244">
        <v>23.617180000000001</v>
      </c>
      <c r="L774" s="15"/>
    </row>
    <row r="775" spans="1:12" ht="29.25" customHeight="1" x14ac:dyDescent="0.25">
      <c r="A775" s="308" t="s">
        <v>785</v>
      </c>
      <c r="B775" s="260" t="s">
        <v>1126</v>
      </c>
      <c r="C775" s="372">
        <v>2024</v>
      </c>
      <c r="D775" s="249">
        <v>0.4</v>
      </c>
      <c r="E775" s="300">
        <v>1</v>
      </c>
      <c r="F775" s="301">
        <v>15</v>
      </c>
      <c r="G775" s="244">
        <v>24.08869</v>
      </c>
      <c r="L775" s="15"/>
    </row>
    <row r="776" spans="1:12" ht="29.25" customHeight="1" x14ac:dyDescent="0.25">
      <c r="A776" s="293" t="s">
        <v>786</v>
      </c>
      <c r="B776" s="260" t="s">
        <v>1127</v>
      </c>
      <c r="C776" s="372">
        <v>2024</v>
      </c>
      <c r="D776" s="249">
        <v>0.4</v>
      </c>
      <c r="E776" s="300">
        <v>1</v>
      </c>
      <c r="F776" s="301">
        <v>1134</v>
      </c>
      <c r="G776" s="244">
        <v>33.872870000000006</v>
      </c>
      <c r="L776" s="15"/>
    </row>
    <row r="777" spans="1:12" ht="29.25" customHeight="1" x14ac:dyDescent="0.25">
      <c r="A777" s="308" t="s">
        <v>784</v>
      </c>
      <c r="B777" s="260" t="s">
        <v>1128</v>
      </c>
      <c r="C777" s="372">
        <v>2024</v>
      </c>
      <c r="D777" s="249">
        <v>0.4</v>
      </c>
      <c r="E777" s="300">
        <v>1</v>
      </c>
      <c r="F777" s="301">
        <v>4</v>
      </c>
      <c r="G777" s="244">
        <v>23.617180000000001</v>
      </c>
      <c r="L777" s="15"/>
    </row>
    <row r="778" spans="1:12" ht="29.25" customHeight="1" x14ac:dyDescent="0.25">
      <c r="A778" s="308" t="s">
        <v>785</v>
      </c>
      <c r="B778" s="260" t="s">
        <v>1129</v>
      </c>
      <c r="C778" s="372">
        <v>2024</v>
      </c>
      <c r="D778" s="249">
        <v>0.4</v>
      </c>
      <c r="E778" s="300">
        <v>1</v>
      </c>
      <c r="F778" s="301">
        <v>30</v>
      </c>
      <c r="G778" s="244">
        <v>25.735689999999998</v>
      </c>
      <c r="L778" s="15"/>
    </row>
    <row r="779" spans="1:12" ht="29.25" customHeight="1" x14ac:dyDescent="0.25">
      <c r="A779" s="308" t="s">
        <v>785</v>
      </c>
      <c r="B779" s="260" t="s">
        <v>1130</v>
      </c>
      <c r="C779" s="372">
        <v>2024</v>
      </c>
      <c r="D779" s="249">
        <v>0.4</v>
      </c>
      <c r="E779" s="300">
        <v>1</v>
      </c>
      <c r="F779" s="301">
        <v>15</v>
      </c>
      <c r="G779" s="244">
        <v>17.91339</v>
      </c>
      <c r="L779" s="15"/>
    </row>
    <row r="780" spans="1:12" ht="29.25" customHeight="1" x14ac:dyDescent="0.25">
      <c r="A780" s="308" t="s">
        <v>784</v>
      </c>
      <c r="B780" s="260" t="s">
        <v>1131</v>
      </c>
      <c r="C780" s="372">
        <v>2024</v>
      </c>
      <c r="D780" s="249">
        <v>0.4</v>
      </c>
      <c r="E780" s="300">
        <v>1</v>
      </c>
      <c r="F780" s="301">
        <v>5</v>
      </c>
      <c r="G780" s="244">
        <v>17.91339</v>
      </c>
      <c r="L780" s="15"/>
    </row>
    <row r="781" spans="1:12" ht="29.25" customHeight="1" x14ac:dyDescent="0.25">
      <c r="A781" s="308" t="s">
        <v>784</v>
      </c>
      <c r="B781" s="260" t="s">
        <v>1132</v>
      </c>
      <c r="C781" s="372">
        <v>2024</v>
      </c>
      <c r="D781" s="249">
        <v>0.4</v>
      </c>
      <c r="E781" s="300">
        <v>1</v>
      </c>
      <c r="F781" s="301">
        <v>5</v>
      </c>
      <c r="G781" s="244">
        <v>17.91339</v>
      </c>
      <c r="L781" s="15"/>
    </row>
    <row r="782" spans="1:12" ht="29.25" customHeight="1" x14ac:dyDescent="0.25">
      <c r="A782" s="308" t="s">
        <v>784</v>
      </c>
      <c r="B782" s="260" t="s">
        <v>1133</v>
      </c>
      <c r="C782" s="372">
        <v>2024</v>
      </c>
      <c r="D782" s="249">
        <v>0.4</v>
      </c>
      <c r="E782" s="300">
        <v>1</v>
      </c>
      <c r="F782" s="301">
        <v>5</v>
      </c>
      <c r="G782" s="244">
        <v>17.91339</v>
      </c>
      <c r="L782" s="15"/>
    </row>
    <row r="783" spans="1:12" ht="29.25" customHeight="1" x14ac:dyDescent="0.25">
      <c r="A783" s="308" t="s">
        <v>784</v>
      </c>
      <c r="B783" s="260" t="s">
        <v>1134</v>
      </c>
      <c r="C783" s="372">
        <v>2024</v>
      </c>
      <c r="D783" s="249">
        <v>0.4</v>
      </c>
      <c r="E783" s="300">
        <v>1</v>
      </c>
      <c r="F783" s="301">
        <v>5</v>
      </c>
      <c r="G783" s="244">
        <v>17.91339</v>
      </c>
      <c r="L783" s="15"/>
    </row>
    <row r="784" spans="1:12" ht="29.25" customHeight="1" x14ac:dyDescent="0.25">
      <c r="A784" s="308" t="s">
        <v>784</v>
      </c>
      <c r="B784" s="260" t="s">
        <v>1135</v>
      </c>
      <c r="C784" s="372">
        <v>2024</v>
      </c>
      <c r="D784" s="249">
        <v>0.4</v>
      </c>
      <c r="E784" s="300">
        <v>1</v>
      </c>
      <c r="F784" s="301">
        <v>5</v>
      </c>
      <c r="G784" s="244">
        <v>23.921590000000002</v>
      </c>
      <c r="L784" s="15"/>
    </row>
    <row r="785" spans="1:12" ht="29.25" customHeight="1" x14ac:dyDescent="0.25">
      <c r="A785" s="308" t="s">
        <v>784</v>
      </c>
      <c r="B785" s="260" t="s">
        <v>1136</v>
      </c>
      <c r="C785" s="372">
        <v>2024</v>
      </c>
      <c r="D785" s="249">
        <v>0.4</v>
      </c>
      <c r="E785" s="300">
        <v>1</v>
      </c>
      <c r="F785" s="301">
        <v>5</v>
      </c>
      <c r="G785" s="244">
        <v>17.91339</v>
      </c>
      <c r="L785" s="15"/>
    </row>
    <row r="786" spans="1:12" ht="29.25" customHeight="1" x14ac:dyDescent="0.25">
      <c r="A786" s="308" t="s">
        <v>784</v>
      </c>
      <c r="B786" s="260" t="s">
        <v>1381</v>
      </c>
      <c r="C786" s="372">
        <v>2024</v>
      </c>
      <c r="D786" s="249">
        <v>0.4</v>
      </c>
      <c r="E786" s="300">
        <v>1</v>
      </c>
      <c r="F786" s="301">
        <v>6</v>
      </c>
      <c r="G786" s="244">
        <v>23.511700000000001</v>
      </c>
      <c r="L786" s="15"/>
    </row>
    <row r="787" spans="1:12" ht="29.25" customHeight="1" x14ac:dyDescent="0.25">
      <c r="A787" s="308" t="s">
        <v>785</v>
      </c>
      <c r="B787" s="260" t="s">
        <v>1137</v>
      </c>
      <c r="C787" s="372">
        <v>2024</v>
      </c>
      <c r="D787" s="249">
        <v>0.4</v>
      </c>
      <c r="E787" s="300">
        <v>1</v>
      </c>
      <c r="F787" s="301">
        <v>15</v>
      </c>
      <c r="G787" s="244">
        <v>31.396509999999999</v>
      </c>
      <c r="L787" s="15"/>
    </row>
    <row r="788" spans="1:12" ht="29.25" customHeight="1" x14ac:dyDescent="0.25">
      <c r="A788" s="308" t="s">
        <v>785</v>
      </c>
      <c r="B788" s="260" t="s">
        <v>1138</v>
      </c>
      <c r="C788" s="372">
        <v>2024</v>
      </c>
      <c r="D788" s="249">
        <v>0.4</v>
      </c>
      <c r="E788" s="300">
        <v>1</v>
      </c>
      <c r="F788" s="301">
        <v>15</v>
      </c>
      <c r="G788" s="244">
        <v>30.830819999999999</v>
      </c>
      <c r="L788" s="15"/>
    </row>
    <row r="789" spans="1:12" ht="29.25" customHeight="1" x14ac:dyDescent="0.25">
      <c r="A789" s="308" t="s">
        <v>785</v>
      </c>
      <c r="B789" s="260" t="s">
        <v>1139</v>
      </c>
      <c r="C789" s="372">
        <v>2024</v>
      </c>
      <c r="D789" s="249">
        <v>0.4</v>
      </c>
      <c r="E789" s="300">
        <v>1</v>
      </c>
      <c r="F789" s="301">
        <v>15</v>
      </c>
      <c r="G789" s="244">
        <v>24.182700000000001</v>
      </c>
      <c r="L789" s="15"/>
    </row>
    <row r="790" spans="1:12" ht="29.25" customHeight="1" x14ac:dyDescent="0.25">
      <c r="A790" s="308" t="s">
        <v>784</v>
      </c>
      <c r="B790" s="260" t="s">
        <v>1140</v>
      </c>
      <c r="C790" s="372">
        <v>2024</v>
      </c>
      <c r="D790" s="249">
        <v>0.4</v>
      </c>
      <c r="E790" s="300">
        <v>1</v>
      </c>
      <c r="F790" s="301">
        <v>5</v>
      </c>
      <c r="G790" s="244">
        <v>18.857800000000001</v>
      </c>
      <c r="L790" s="15"/>
    </row>
    <row r="791" spans="1:12" ht="29.25" customHeight="1" x14ac:dyDescent="0.25">
      <c r="A791" s="308" t="s">
        <v>785</v>
      </c>
      <c r="B791" s="260" t="s">
        <v>1141</v>
      </c>
      <c r="C791" s="372">
        <v>2024</v>
      </c>
      <c r="D791" s="249">
        <v>0.4</v>
      </c>
      <c r="E791" s="300">
        <v>1</v>
      </c>
      <c r="F791" s="301">
        <v>15</v>
      </c>
      <c r="G791" s="244">
        <v>31.396509999999999</v>
      </c>
      <c r="L791" s="15"/>
    </row>
    <row r="792" spans="1:12" ht="29.25" customHeight="1" x14ac:dyDescent="0.25">
      <c r="A792" s="308" t="s">
        <v>785</v>
      </c>
      <c r="B792" s="260" t="s">
        <v>1142</v>
      </c>
      <c r="C792" s="372">
        <v>2024</v>
      </c>
      <c r="D792" s="249">
        <v>0.4</v>
      </c>
      <c r="E792" s="300">
        <v>1</v>
      </c>
      <c r="F792" s="301">
        <v>15</v>
      </c>
      <c r="G792" s="244">
        <v>31.462910000000001</v>
      </c>
      <c r="L792" s="15"/>
    </row>
    <row r="793" spans="1:12" ht="29.25" customHeight="1" x14ac:dyDescent="0.25">
      <c r="A793" s="308" t="s">
        <v>784</v>
      </c>
      <c r="B793" s="260" t="s">
        <v>1143</v>
      </c>
      <c r="C793" s="372">
        <v>2024</v>
      </c>
      <c r="D793" s="249">
        <v>0.4</v>
      </c>
      <c r="E793" s="300">
        <v>1</v>
      </c>
      <c r="F793" s="301">
        <v>8</v>
      </c>
      <c r="G793" s="244">
        <v>17.91339</v>
      </c>
      <c r="L793" s="15"/>
    </row>
    <row r="794" spans="1:12" ht="29.25" customHeight="1" x14ac:dyDescent="0.25">
      <c r="A794" s="308" t="s">
        <v>785</v>
      </c>
      <c r="B794" s="260" t="s">
        <v>1144</v>
      </c>
      <c r="C794" s="372">
        <v>2024</v>
      </c>
      <c r="D794" s="249">
        <v>0.4</v>
      </c>
      <c r="E794" s="300">
        <v>1</v>
      </c>
      <c r="F794" s="301">
        <v>15</v>
      </c>
      <c r="G794" s="244">
        <v>34.564500000000002</v>
      </c>
      <c r="L794" s="15"/>
    </row>
    <row r="795" spans="1:12" ht="29.25" customHeight="1" x14ac:dyDescent="0.25">
      <c r="A795" s="308" t="s">
        <v>785</v>
      </c>
      <c r="B795" s="260" t="s">
        <v>1145</v>
      </c>
      <c r="C795" s="372">
        <v>2024</v>
      </c>
      <c r="D795" s="249">
        <v>0.4</v>
      </c>
      <c r="E795" s="300">
        <v>1</v>
      </c>
      <c r="F795" s="301">
        <v>15</v>
      </c>
      <c r="G795" s="244">
        <v>31.396509999999999</v>
      </c>
      <c r="L795" s="15"/>
    </row>
    <row r="796" spans="1:12" ht="29.25" customHeight="1" x14ac:dyDescent="0.25">
      <c r="A796" s="308" t="s">
        <v>786</v>
      </c>
      <c r="B796" s="260" t="s">
        <v>1146</v>
      </c>
      <c r="C796" s="372">
        <v>2024</v>
      </c>
      <c r="D796" s="249">
        <v>0.4</v>
      </c>
      <c r="E796" s="300">
        <v>1</v>
      </c>
      <c r="F796" s="301">
        <v>100</v>
      </c>
      <c r="G796" s="244">
        <v>29.308529999999998</v>
      </c>
      <c r="L796" s="15"/>
    </row>
    <row r="797" spans="1:12" ht="29.25" customHeight="1" x14ac:dyDescent="0.25">
      <c r="A797" s="308" t="s">
        <v>785</v>
      </c>
      <c r="B797" s="260" t="s">
        <v>1147</v>
      </c>
      <c r="C797" s="372">
        <v>2024</v>
      </c>
      <c r="D797" s="249">
        <v>0.4</v>
      </c>
      <c r="E797" s="300">
        <v>1</v>
      </c>
      <c r="F797" s="301">
        <v>15</v>
      </c>
      <c r="G797" s="244">
        <v>33.195970000000003</v>
      </c>
      <c r="L797" s="15"/>
    </row>
    <row r="798" spans="1:12" ht="29.25" customHeight="1" x14ac:dyDescent="0.25">
      <c r="A798" s="308" t="s">
        <v>784</v>
      </c>
      <c r="B798" s="260" t="s">
        <v>1148</v>
      </c>
      <c r="C798" s="372">
        <v>2024</v>
      </c>
      <c r="D798" s="249">
        <v>0.4</v>
      </c>
      <c r="E798" s="300">
        <v>1</v>
      </c>
      <c r="F798" s="301">
        <v>5</v>
      </c>
      <c r="G798" s="244">
        <v>11.108930000000001</v>
      </c>
      <c r="L798" s="15"/>
    </row>
    <row r="799" spans="1:12" ht="29.25" customHeight="1" x14ac:dyDescent="0.25">
      <c r="A799" s="308" t="s">
        <v>785</v>
      </c>
      <c r="B799" s="260" t="s">
        <v>1149</v>
      </c>
      <c r="C799" s="372">
        <v>2024</v>
      </c>
      <c r="D799" s="249">
        <v>0.4</v>
      </c>
      <c r="E799" s="300">
        <v>1</v>
      </c>
      <c r="F799" s="301">
        <v>10</v>
      </c>
      <c r="G799" s="244">
        <v>24.264330000000001</v>
      </c>
      <c r="L799" s="15"/>
    </row>
    <row r="800" spans="1:12" ht="29.25" customHeight="1" x14ac:dyDescent="0.25">
      <c r="A800" s="308" t="s">
        <v>785</v>
      </c>
      <c r="B800" s="260" t="s">
        <v>1150</v>
      </c>
      <c r="C800" s="372">
        <v>2024</v>
      </c>
      <c r="D800" s="249">
        <v>0.4</v>
      </c>
      <c r="E800" s="300">
        <v>1</v>
      </c>
      <c r="F800" s="301">
        <v>30</v>
      </c>
      <c r="G800" s="244">
        <v>23.458929999999999</v>
      </c>
      <c r="L800" s="15"/>
    </row>
    <row r="801" spans="1:12" ht="29.25" customHeight="1" x14ac:dyDescent="0.25">
      <c r="A801" s="308" t="s">
        <v>784</v>
      </c>
      <c r="B801" s="260" t="s">
        <v>1151</v>
      </c>
      <c r="C801" s="372">
        <v>2024</v>
      </c>
      <c r="D801" s="249">
        <v>0.4</v>
      </c>
      <c r="E801" s="300">
        <v>1</v>
      </c>
      <c r="F801" s="301">
        <v>5</v>
      </c>
      <c r="G801" s="244">
        <v>18.566509999999997</v>
      </c>
      <c r="L801" s="15"/>
    </row>
    <row r="802" spans="1:12" ht="29.25" customHeight="1" x14ac:dyDescent="0.25">
      <c r="A802" s="308" t="s">
        <v>784</v>
      </c>
      <c r="B802" s="260" t="s">
        <v>1152</v>
      </c>
      <c r="C802" s="372">
        <v>2024</v>
      </c>
      <c r="D802" s="249">
        <v>0.4</v>
      </c>
      <c r="E802" s="300">
        <v>1</v>
      </c>
      <c r="F802" s="301">
        <v>5</v>
      </c>
      <c r="G802" s="244">
        <v>18.566509999999997</v>
      </c>
      <c r="L802" s="15"/>
    </row>
    <row r="803" spans="1:12" ht="29.25" customHeight="1" x14ac:dyDescent="0.25">
      <c r="A803" s="308" t="s">
        <v>784</v>
      </c>
      <c r="B803" s="260" t="s">
        <v>1153</v>
      </c>
      <c r="C803" s="372">
        <v>2024</v>
      </c>
      <c r="D803" s="249">
        <v>0.4</v>
      </c>
      <c r="E803" s="300">
        <v>1</v>
      </c>
      <c r="F803" s="301">
        <v>5</v>
      </c>
      <c r="G803" s="244">
        <v>18.56692</v>
      </c>
      <c r="L803" s="15"/>
    </row>
    <row r="804" spans="1:12" ht="29.25" customHeight="1" x14ac:dyDescent="0.25">
      <c r="A804" s="308" t="s">
        <v>784</v>
      </c>
      <c r="B804" s="260" t="s">
        <v>1154</v>
      </c>
      <c r="C804" s="372">
        <v>2024</v>
      </c>
      <c r="D804" s="249">
        <v>0.4</v>
      </c>
      <c r="E804" s="300">
        <v>1</v>
      </c>
      <c r="F804" s="301">
        <v>5</v>
      </c>
      <c r="G804" s="244">
        <v>18.566509999999997</v>
      </c>
      <c r="L804" s="15"/>
    </row>
    <row r="805" spans="1:12" ht="29.25" customHeight="1" x14ac:dyDescent="0.25">
      <c r="A805" s="308" t="s">
        <v>784</v>
      </c>
      <c r="B805" s="260" t="s">
        <v>1155</v>
      </c>
      <c r="C805" s="372">
        <v>2024</v>
      </c>
      <c r="D805" s="249">
        <v>0.4</v>
      </c>
      <c r="E805" s="300">
        <v>1</v>
      </c>
      <c r="F805" s="301">
        <v>5</v>
      </c>
      <c r="G805" s="244">
        <v>18.566520000000001</v>
      </c>
      <c r="L805" s="15"/>
    </row>
    <row r="806" spans="1:12" ht="29.25" customHeight="1" x14ac:dyDescent="0.25">
      <c r="A806" s="308" t="s">
        <v>784</v>
      </c>
      <c r="B806" s="260" t="s">
        <v>1156</v>
      </c>
      <c r="C806" s="372">
        <v>2024</v>
      </c>
      <c r="D806" s="249">
        <v>0.4</v>
      </c>
      <c r="E806" s="300">
        <v>1</v>
      </c>
      <c r="F806" s="301">
        <v>5</v>
      </c>
      <c r="G806" s="244">
        <v>18.56691</v>
      </c>
      <c r="L806" s="15"/>
    </row>
    <row r="807" spans="1:12" ht="29.25" customHeight="1" x14ac:dyDescent="0.25">
      <c r="A807" s="308" t="s">
        <v>785</v>
      </c>
      <c r="B807" s="260" t="s">
        <v>1157</v>
      </c>
      <c r="C807" s="372">
        <v>2024</v>
      </c>
      <c r="D807" s="249">
        <v>0.4</v>
      </c>
      <c r="E807" s="300">
        <v>1</v>
      </c>
      <c r="F807" s="301">
        <v>15</v>
      </c>
      <c r="G807" s="244">
        <v>30.497610000000002</v>
      </c>
      <c r="L807" s="15"/>
    </row>
    <row r="808" spans="1:12" ht="29.25" customHeight="1" x14ac:dyDescent="0.25">
      <c r="A808" s="308" t="s">
        <v>786</v>
      </c>
      <c r="B808" s="260" t="s">
        <v>1158</v>
      </c>
      <c r="C808" s="372">
        <v>2024</v>
      </c>
      <c r="D808" s="249">
        <v>0.4</v>
      </c>
      <c r="E808" s="300">
        <v>1</v>
      </c>
      <c r="F808" s="301">
        <v>200</v>
      </c>
      <c r="G808" s="244">
        <v>36.81232</v>
      </c>
      <c r="L808" s="15"/>
    </row>
    <row r="809" spans="1:12" ht="29.25" customHeight="1" x14ac:dyDescent="0.25">
      <c r="A809" s="308" t="s">
        <v>785</v>
      </c>
      <c r="B809" s="260" t="s">
        <v>1159</v>
      </c>
      <c r="C809" s="372">
        <v>2024</v>
      </c>
      <c r="D809" s="249">
        <v>0.4</v>
      </c>
      <c r="E809" s="300">
        <v>1</v>
      </c>
      <c r="F809" s="301">
        <v>15</v>
      </c>
      <c r="G809" s="244">
        <v>24.124220000000001</v>
      </c>
      <c r="L809" s="15"/>
    </row>
    <row r="810" spans="1:12" ht="29.25" customHeight="1" x14ac:dyDescent="0.25">
      <c r="A810" s="308" t="s">
        <v>785</v>
      </c>
      <c r="B810" s="260" t="s">
        <v>1160</v>
      </c>
      <c r="C810" s="372">
        <v>2024</v>
      </c>
      <c r="D810" s="249">
        <v>0.4</v>
      </c>
      <c r="E810" s="300">
        <v>1</v>
      </c>
      <c r="F810" s="301">
        <v>15</v>
      </c>
      <c r="G810" s="244">
        <v>30.61281</v>
      </c>
      <c r="L810" s="15"/>
    </row>
    <row r="811" spans="1:12" ht="29.25" customHeight="1" x14ac:dyDescent="0.25">
      <c r="A811" s="308" t="s">
        <v>785</v>
      </c>
      <c r="B811" s="260" t="s">
        <v>1161</v>
      </c>
      <c r="C811" s="372">
        <v>2024</v>
      </c>
      <c r="D811" s="249">
        <v>0.4</v>
      </c>
      <c r="E811" s="300">
        <v>1</v>
      </c>
      <c r="F811" s="301">
        <v>15</v>
      </c>
      <c r="G811" s="244">
        <v>31.511710000000001</v>
      </c>
      <c r="L811" s="15"/>
    </row>
    <row r="812" spans="1:12" ht="29.25" customHeight="1" x14ac:dyDescent="0.25">
      <c r="A812" s="308" t="s">
        <v>784</v>
      </c>
      <c r="B812" s="260" t="s">
        <v>1162</v>
      </c>
      <c r="C812" s="372">
        <v>2024</v>
      </c>
      <c r="D812" s="249">
        <v>0.4</v>
      </c>
      <c r="E812" s="300">
        <v>1</v>
      </c>
      <c r="F812" s="301">
        <v>7</v>
      </c>
      <c r="G812" s="244">
        <v>18.915400000000002</v>
      </c>
      <c r="L812" s="15"/>
    </row>
    <row r="813" spans="1:12" ht="29.25" customHeight="1" x14ac:dyDescent="0.25">
      <c r="A813" s="308" t="s">
        <v>785</v>
      </c>
      <c r="B813" s="260" t="s">
        <v>1163</v>
      </c>
      <c r="C813" s="372">
        <v>2024</v>
      </c>
      <c r="D813" s="249">
        <v>0.4</v>
      </c>
      <c r="E813" s="300">
        <v>1</v>
      </c>
      <c r="F813" s="301">
        <v>15</v>
      </c>
      <c r="G813" s="244">
        <v>30.95579</v>
      </c>
      <c r="L813" s="15"/>
    </row>
    <row r="814" spans="1:12" ht="29.25" customHeight="1" x14ac:dyDescent="0.25">
      <c r="A814" s="308" t="s">
        <v>785</v>
      </c>
      <c r="B814" s="260" t="s">
        <v>1164</v>
      </c>
      <c r="C814" s="372">
        <v>2024</v>
      </c>
      <c r="D814" s="249">
        <v>0.4</v>
      </c>
      <c r="E814" s="300">
        <v>1</v>
      </c>
      <c r="F814" s="301">
        <v>15</v>
      </c>
      <c r="G814" s="244">
        <v>24.38391</v>
      </c>
      <c r="L814" s="15"/>
    </row>
    <row r="815" spans="1:12" ht="29.25" customHeight="1" x14ac:dyDescent="0.25">
      <c r="A815" s="308" t="s">
        <v>784</v>
      </c>
      <c r="B815" s="260" t="s">
        <v>1165</v>
      </c>
      <c r="C815" s="372">
        <v>2024</v>
      </c>
      <c r="D815" s="249">
        <v>0.4</v>
      </c>
      <c r="E815" s="300">
        <v>1</v>
      </c>
      <c r="F815" s="301">
        <v>5</v>
      </c>
      <c r="G815" s="244">
        <v>19.082450000000001</v>
      </c>
      <c r="L815" s="15"/>
    </row>
    <row r="816" spans="1:12" ht="29.25" customHeight="1" x14ac:dyDescent="0.25">
      <c r="A816" s="308" t="s">
        <v>785</v>
      </c>
      <c r="B816" s="260" t="s">
        <v>1387</v>
      </c>
      <c r="C816" s="372">
        <v>2024</v>
      </c>
      <c r="D816" s="249">
        <v>0.4</v>
      </c>
      <c r="E816" s="300">
        <v>1</v>
      </c>
      <c r="F816" s="301">
        <v>15</v>
      </c>
      <c r="G816" s="244">
        <v>31.082609999999999</v>
      </c>
      <c r="L816" s="15"/>
    </row>
    <row r="817" spans="1:12" ht="29.25" customHeight="1" x14ac:dyDescent="0.25">
      <c r="A817" s="308" t="s">
        <v>785</v>
      </c>
      <c r="B817" s="260" t="s">
        <v>1166</v>
      </c>
      <c r="C817" s="372">
        <v>2024</v>
      </c>
      <c r="D817" s="249">
        <v>0.4</v>
      </c>
      <c r="E817" s="300">
        <v>1</v>
      </c>
      <c r="F817" s="301">
        <v>15</v>
      </c>
      <c r="G817" s="244">
        <v>31.347709999999999</v>
      </c>
      <c r="L817" s="15"/>
    </row>
    <row r="818" spans="1:12" ht="29.25" customHeight="1" x14ac:dyDescent="0.25">
      <c r="A818" s="308" t="s">
        <v>784</v>
      </c>
      <c r="B818" s="260" t="s">
        <v>1167</v>
      </c>
      <c r="C818" s="372">
        <v>2024</v>
      </c>
      <c r="D818" s="249">
        <v>0.4</v>
      </c>
      <c r="E818" s="300">
        <v>1</v>
      </c>
      <c r="F818" s="301">
        <v>5</v>
      </c>
      <c r="G818" s="244">
        <v>19.02486</v>
      </c>
      <c r="L818" s="15"/>
    </row>
    <row r="819" spans="1:12" ht="29.25" customHeight="1" x14ac:dyDescent="0.25">
      <c r="A819" s="308" t="s">
        <v>785</v>
      </c>
      <c r="B819" s="260" t="s">
        <v>1168</v>
      </c>
      <c r="C819" s="372">
        <v>2024</v>
      </c>
      <c r="D819" s="249">
        <v>0.4</v>
      </c>
      <c r="E819" s="300">
        <v>1</v>
      </c>
      <c r="F819" s="301">
        <v>15</v>
      </c>
      <c r="G819" s="244">
        <v>31.867609999999999</v>
      </c>
      <c r="L819" s="15"/>
    </row>
    <row r="820" spans="1:12" ht="29.25" customHeight="1" x14ac:dyDescent="0.25">
      <c r="A820" s="308" t="s">
        <v>785</v>
      </c>
      <c r="B820" s="260" t="s">
        <v>1169</v>
      </c>
      <c r="C820" s="372">
        <v>2024</v>
      </c>
      <c r="D820" s="249">
        <v>0.4</v>
      </c>
      <c r="E820" s="300">
        <v>1</v>
      </c>
      <c r="F820" s="301">
        <v>30</v>
      </c>
      <c r="G820" s="244">
        <v>24.20391</v>
      </c>
      <c r="L820" s="15"/>
    </row>
    <row r="821" spans="1:12" ht="29.25" customHeight="1" x14ac:dyDescent="0.25">
      <c r="A821" s="308" t="s">
        <v>785</v>
      </c>
      <c r="B821" s="260" t="s">
        <v>1170</v>
      </c>
      <c r="C821" s="372">
        <v>2024</v>
      </c>
      <c r="D821" s="249">
        <v>0.4</v>
      </c>
      <c r="E821" s="300">
        <v>1</v>
      </c>
      <c r="F821" s="301">
        <v>15</v>
      </c>
      <c r="G821" s="244">
        <v>31.462910000000001</v>
      </c>
      <c r="L821" s="15"/>
    </row>
    <row r="822" spans="1:12" ht="29.25" customHeight="1" x14ac:dyDescent="0.25">
      <c r="A822" s="308" t="s">
        <v>785</v>
      </c>
      <c r="B822" s="260" t="s">
        <v>1382</v>
      </c>
      <c r="C822" s="372">
        <v>2024</v>
      </c>
      <c r="D822" s="249">
        <v>0.4</v>
      </c>
      <c r="E822" s="300">
        <v>1</v>
      </c>
      <c r="F822" s="301">
        <v>15</v>
      </c>
      <c r="G822" s="244">
        <v>31.396509999999999</v>
      </c>
      <c r="L822" s="15"/>
    </row>
    <row r="823" spans="1:12" ht="29.25" customHeight="1" x14ac:dyDescent="0.25">
      <c r="A823" s="308" t="s">
        <v>785</v>
      </c>
      <c r="B823" s="260" t="s">
        <v>1171</v>
      </c>
      <c r="C823" s="372">
        <v>2024</v>
      </c>
      <c r="D823" s="249">
        <v>0.4</v>
      </c>
      <c r="E823" s="300">
        <v>1</v>
      </c>
      <c r="F823" s="301">
        <v>15</v>
      </c>
      <c r="G823" s="244">
        <v>24.203900000000001</v>
      </c>
      <c r="L823" s="15"/>
    </row>
    <row r="824" spans="1:12" ht="29.25" customHeight="1" x14ac:dyDescent="0.25">
      <c r="A824" s="308" t="s">
        <v>785</v>
      </c>
      <c r="B824" s="260" t="s">
        <v>1172</v>
      </c>
      <c r="C824" s="372">
        <v>2024</v>
      </c>
      <c r="D824" s="249">
        <v>0.4</v>
      </c>
      <c r="E824" s="300">
        <v>1</v>
      </c>
      <c r="F824" s="301">
        <v>15</v>
      </c>
      <c r="G824" s="244">
        <v>23.87115</v>
      </c>
      <c r="L824" s="15"/>
    </row>
    <row r="825" spans="1:12" ht="29.25" customHeight="1" x14ac:dyDescent="0.25">
      <c r="A825" s="308" t="s">
        <v>784</v>
      </c>
      <c r="B825" s="260" t="s">
        <v>1173</v>
      </c>
      <c r="C825" s="372">
        <v>2024</v>
      </c>
      <c r="D825" s="249">
        <v>0.4</v>
      </c>
      <c r="E825" s="300">
        <v>1</v>
      </c>
      <c r="F825" s="301">
        <v>5</v>
      </c>
      <c r="G825" s="244">
        <v>18.99184</v>
      </c>
      <c r="L825" s="15"/>
    </row>
    <row r="826" spans="1:12" ht="29.25" customHeight="1" x14ac:dyDescent="0.25">
      <c r="A826" s="308" t="s">
        <v>784</v>
      </c>
      <c r="B826" s="260" t="s">
        <v>1174</v>
      </c>
      <c r="C826" s="372">
        <v>2024</v>
      </c>
      <c r="D826" s="249">
        <v>0.4</v>
      </c>
      <c r="E826" s="300">
        <v>1</v>
      </c>
      <c r="F826" s="301">
        <v>5</v>
      </c>
      <c r="G826" s="244">
        <v>24.293060000000001</v>
      </c>
      <c r="L826" s="15"/>
    </row>
    <row r="827" spans="1:12" ht="29.25" customHeight="1" x14ac:dyDescent="0.25">
      <c r="A827" s="308" t="s">
        <v>785</v>
      </c>
      <c r="B827" s="260" t="s">
        <v>1388</v>
      </c>
      <c r="C827" s="372">
        <v>2024</v>
      </c>
      <c r="D827" s="249">
        <v>0.4</v>
      </c>
      <c r="E827" s="300">
        <v>1</v>
      </c>
      <c r="F827" s="301">
        <v>15</v>
      </c>
      <c r="G827" s="244">
        <v>23.216090000000001</v>
      </c>
      <c r="L827" s="15"/>
    </row>
    <row r="828" spans="1:12" ht="29.25" customHeight="1" x14ac:dyDescent="0.25">
      <c r="A828" s="308" t="s">
        <v>784</v>
      </c>
      <c r="B828" s="260" t="s">
        <v>1175</v>
      </c>
      <c r="C828" s="372">
        <v>2024</v>
      </c>
      <c r="D828" s="249">
        <v>0.4</v>
      </c>
      <c r="E828" s="300">
        <v>1</v>
      </c>
      <c r="F828" s="301">
        <v>5</v>
      </c>
      <c r="G828" s="244">
        <v>18.117470000000001</v>
      </c>
      <c r="L828" s="15"/>
    </row>
    <row r="829" spans="1:12" ht="29.25" customHeight="1" x14ac:dyDescent="0.25">
      <c r="A829" s="308" t="s">
        <v>784</v>
      </c>
      <c r="B829" s="260" t="s">
        <v>1176</v>
      </c>
      <c r="C829" s="372">
        <v>2024</v>
      </c>
      <c r="D829" s="249">
        <v>0.4</v>
      </c>
      <c r="E829" s="300">
        <v>1</v>
      </c>
      <c r="F829" s="301">
        <v>7</v>
      </c>
      <c r="G829" s="244">
        <v>24.64368</v>
      </c>
      <c r="L829" s="15"/>
    </row>
    <row r="830" spans="1:12" ht="29.25" customHeight="1" x14ac:dyDescent="0.25">
      <c r="A830" s="308" t="s">
        <v>785</v>
      </c>
      <c r="B830" s="260" t="s">
        <v>1177</v>
      </c>
      <c r="C830" s="372">
        <v>2024</v>
      </c>
      <c r="D830" s="249">
        <v>0.4</v>
      </c>
      <c r="E830" s="300">
        <v>1</v>
      </c>
      <c r="F830" s="301">
        <v>15</v>
      </c>
      <c r="G830" s="244">
        <v>31.462910000000001</v>
      </c>
      <c r="L830" s="15"/>
    </row>
    <row r="831" spans="1:12" ht="29.25" customHeight="1" x14ac:dyDescent="0.25">
      <c r="A831" s="308" t="s">
        <v>784</v>
      </c>
      <c r="B831" s="260" t="s">
        <v>1178</v>
      </c>
      <c r="C831" s="372">
        <v>2024</v>
      </c>
      <c r="D831" s="249">
        <v>0.4</v>
      </c>
      <c r="E831" s="300">
        <v>1</v>
      </c>
      <c r="F831" s="301">
        <v>10</v>
      </c>
      <c r="G831" s="244">
        <v>18.566509999999997</v>
      </c>
      <c r="L831" s="15"/>
    </row>
    <row r="832" spans="1:12" ht="29.25" customHeight="1" x14ac:dyDescent="0.25">
      <c r="A832" s="308" t="s">
        <v>784</v>
      </c>
      <c r="B832" s="260" t="s">
        <v>1179</v>
      </c>
      <c r="C832" s="372">
        <v>2024</v>
      </c>
      <c r="D832" s="249">
        <v>0.4</v>
      </c>
      <c r="E832" s="300">
        <v>1</v>
      </c>
      <c r="F832" s="301">
        <v>10</v>
      </c>
      <c r="G832" s="244">
        <v>23.439220000000002</v>
      </c>
      <c r="L832" s="15"/>
    </row>
    <row r="833" spans="1:12" ht="29.25" customHeight="1" x14ac:dyDescent="0.25">
      <c r="A833" s="308" t="s">
        <v>785</v>
      </c>
      <c r="B833" s="260" t="s">
        <v>1180</v>
      </c>
      <c r="C833" s="372">
        <v>2024</v>
      </c>
      <c r="D833" s="249">
        <v>0.4</v>
      </c>
      <c r="E833" s="300">
        <v>1</v>
      </c>
      <c r="F833" s="301">
        <v>15</v>
      </c>
      <c r="G833" s="244">
        <v>30.146990000000002</v>
      </c>
      <c r="L833" s="15"/>
    </row>
    <row r="834" spans="1:12" ht="29.25" customHeight="1" x14ac:dyDescent="0.25">
      <c r="A834" s="308" t="s">
        <v>784</v>
      </c>
      <c r="B834" s="260" t="s">
        <v>1181</v>
      </c>
      <c r="C834" s="372">
        <v>2024</v>
      </c>
      <c r="D834" s="249">
        <v>0.4</v>
      </c>
      <c r="E834" s="300">
        <v>1</v>
      </c>
      <c r="F834" s="301">
        <v>10</v>
      </c>
      <c r="G834" s="244">
        <v>24.63946</v>
      </c>
      <c r="L834" s="15"/>
    </row>
    <row r="835" spans="1:12" ht="29.25" customHeight="1" x14ac:dyDescent="0.25">
      <c r="A835" s="308" t="s">
        <v>784</v>
      </c>
      <c r="B835" s="260" t="s">
        <v>1182</v>
      </c>
      <c r="C835" s="372">
        <v>2024</v>
      </c>
      <c r="D835" s="249">
        <v>0.4</v>
      </c>
      <c r="E835" s="300">
        <v>1</v>
      </c>
      <c r="F835" s="301">
        <v>5</v>
      </c>
      <c r="G835" s="244">
        <v>21.137319999999999</v>
      </c>
      <c r="L835" s="15"/>
    </row>
    <row r="836" spans="1:12" ht="29.25" customHeight="1" x14ac:dyDescent="0.25">
      <c r="A836" s="308" t="s">
        <v>784</v>
      </c>
      <c r="B836" s="260" t="s">
        <v>1183</v>
      </c>
      <c r="C836" s="372">
        <v>2024</v>
      </c>
      <c r="D836" s="249">
        <v>0.4</v>
      </c>
      <c r="E836" s="300">
        <v>1</v>
      </c>
      <c r="F836" s="301">
        <v>4</v>
      </c>
      <c r="G836" s="244">
        <v>24.324459999999998</v>
      </c>
      <c r="L836" s="15"/>
    </row>
    <row r="837" spans="1:12" ht="29.25" customHeight="1" x14ac:dyDescent="0.25">
      <c r="A837" s="308" t="s">
        <v>785</v>
      </c>
      <c r="B837" s="260" t="s">
        <v>1184</v>
      </c>
      <c r="C837" s="372">
        <v>2024</v>
      </c>
      <c r="D837" s="249">
        <v>0.4</v>
      </c>
      <c r="E837" s="300">
        <v>1</v>
      </c>
      <c r="F837" s="301">
        <v>15</v>
      </c>
      <c r="G837" s="244">
        <v>23.69651</v>
      </c>
      <c r="L837" s="15"/>
    </row>
    <row r="838" spans="1:12" ht="29.25" customHeight="1" x14ac:dyDescent="0.25">
      <c r="A838" s="308" t="s">
        <v>785</v>
      </c>
      <c r="B838" s="260" t="s">
        <v>1185</v>
      </c>
      <c r="C838" s="372">
        <v>2024</v>
      </c>
      <c r="D838" s="249">
        <v>0.4</v>
      </c>
      <c r="E838" s="300">
        <v>1</v>
      </c>
      <c r="F838" s="301">
        <v>15</v>
      </c>
      <c r="G838" s="244">
        <v>24.088709999999999</v>
      </c>
      <c r="L838" s="15"/>
    </row>
    <row r="839" spans="1:12" ht="29.25" customHeight="1" x14ac:dyDescent="0.25">
      <c r="A839" s="308" t="s">
        <v>784</v>
      </c>
      <c r="B839" s="260" t="s">
        <v>1186</v>
      </c>
      <c r="C839" s="372">
        <v>2024</v>
      </c>
      <c r="D839" s="249">
        <v>0.4</v>
      </c>
      <c r="E839" s="300">
        <v>1</v>
      </c>
      <c r="F839" s="301">
        <v>5</v>
      </c>
      <c r="G839" s="244">
        <v>17.91339</v>
      </c>
      <c r="L839" s="15"/>
    </row>
    <row r="840" spans="1:12" ht="29.25" customHeight="1" x14ac:dyDescent="0.25">
      <c r="A840" s="308" t="s">
        <v>784</v>
      </c>
      <c r="B840" s="260" t="s">
        <v>1187</v>
      </c>
      <c r="C840" s="372">
        <v>2024</v>
      </c>
      <c r="D840" s="249">
        <v>0.4</v>
      </c>
      <c r="E840" s="300">
        <v>1</v>
      </c>
      <c r="F840" s="301">
        <v>5</v>
      </c>
      <c r="G840" s="244">
        <v>17.91339</v>
      </c>
      <c r="L840" s="15"/>
    </row>
    <row r="841" spans="1:12" ht="29.25" customHeight="1" x14ac:dyDescent="0.25">
      <c r="A841" s="308" t="s">
        <v>784</v>
      </c>
      <c r="B841" s="260" t="s">
        <v>1188</v>
      </c>
      <c r="C841" s="372">
        <v>2024</v>
      </c>
      <c r="D841" s="249">
        <v>0.4</v>
      </c>
      <c r="E841" s="300">
        <v>1</v>
      </c>
      <c r="F841" s="301">
        <v>7</v>
      </c>
      <c r="G841" s="244">
        <v>24.20391</v>
      </c>
      <c r="L841" s="15"/>
    </row>
    <row r="842" spans="1:12" ht="29.25" customHeight="1" x14ac:dyDescent="0.25">
      <c r="A842" s="308" t="s">
        <v>785</v>
      </c>
      <c r="B842" s="260" t="s">
        <v>1189</v>
      </c>
      <c r="C842" s="372">
        <v>2024</v>
      </c>
      <c r="D842" s="249">
        <v>0.4</v>
      </c>
      <c r="E842" s="300">
        <v>1</v>
      </c>
      <c r="F842" s="301">
        <v>15</v>
      </c>
      <c r="G842" s="244">
        <v>30.53313</v>
      </c>
      <c r="L842" s="15"/>
    </row>
    <row r="843" spans="1:12" ht="29.25" customHeight="1" x14ac:dyDescent="0.25">
      <c r="A843" s="308" t="s">
        <v>785</v>
      </c>
      <c r="B843" s="260" t="s">
        <v>1190</v>
      </c>
      <c r="C843" s="372">
        <v>2024</v>
      </c>
      <c r="D843" s="249">
        <v>0.4</v>
      </c>
      <c r="E843" s="300">
        <v>1</v>
      </c>
      <c r="F843" s="301">
        <v>15</v>
      </c>
      <c r="G843" s="244">
        <v>24.615680000000001</v>
      </c>
      <c r="L843" s="15"/>
    </row>
    <row r="844" spans="1:12" ht="29.25" customHeight="1" x14ac:dyDescent="0.25">
      <c r="A844" s="308" t="s">
        <v>785</v>
      </c>
      <c r="B844" s="260" t="s">
        <v>1191</v>
      </c>
      <c r="C844" s="372">
        <v>2024</v>
      </c>
      <c r="D844" s="249">
        <v>0.4</v>
      </c>
      <c r="E844" s="300">
        <v>1</v>
      </c>
      <c r="F844" s="301">
        <v>10</v>
      </c>
      <c r="G844" s="244">
        <v>23.638930000000002</v>
      </c>
      <c r="L844" s="15"/>
    </row>
    <row r="845" spans="1:12" ht="29.25" customHeight="1" x14ac:dyDescent="0.25">
      <c r="A845" s="308" t="s">
        <v>784</v>
      </c>
      <c r="B845" s="260" t="s">
        <v>1192</v>
      </c>
      <c r="C845" s="372">
        <v>2024</v>
      </c>
      <c r="D845" s="249">
        <v>0.4</v>
      </c>
      <c r="E845" s="300">
        <v>1</v>
      </c>
      <c r="F845" s="301">
        <v>5</v>
      </c>
      <c r="G845" s="244">
        <v>18.624130000000001</v>
      </c>
      <c r="L845" s="15"/>
    </row>
    <row r="846" spans="1:12" ht="29.25" customHeight="1" x14ac:dyDescent="0.25">
      <c r="A846" s="308" t="s">
        <v>785</v>
      </c>
      <c r="B846" s="260" t="s">
        <v>1193</v>
      </c>
      <c r="C846" s="372">
        <v>2024</v>
      </c>
      <c r="D846" s="249">
        <v>0.4</v>
      </c>
      <c r="E846" s="300">
        <v>1</v>
      </c>
      <c r="F846" s="301">
        <v>15</v>
      </c>
      <c r="G846" s="244">
        <v>24.088699999999999</v>
      </c>
      <c r="L846" s="15"/>
    </row>
    <row r="847" spans="1:12" ht="29.25" customHeight="1" x14ac:dyDescent="0.25">
      <c r="A847" s="308" t="s">
        <v>785</v>
      </c>
      <c r="B847" s="260" t="s">
        <v>1194</v>
      </c>
      <c r="C847" s="372">
        <v>2024</v>
      </c>
      <c r="D847" s="249">
        <v>0.4</v>
      </c>
      <c r="E847" s="300">
        <v>1</v>
      </c>
      <c r="F847" s="301">
        <v>15</v>
      </c>
      <c r="G847" s="244">
        <v>23.527750000000001</v>
      </c>
      <c r="L847" s="15"/>
    </row>
    <row r="848" spans="1:12" ht="29.25" customHeight="1" x14ac:dyDescent="0.25">
      <c r="A848" s="293" t="s">
        <v>786</v>
      </c>
      <c r="B848" s="260" t="s">
        <v>1195</v>
      </c>
      <c r="C848" s="372">
        <v>2024</v>
      </c>
      <c r="D848" s="249">
        <v>0.4</v>
      </c>
      <c r="E848" s="300">
        <v>1</v>
      </c>
      <c r="F848" s="301">
        <v>140</v>
      </c>
      <c r="G848" s="244">
        <v>23.56176</v>
      </c>
      <c r="L848" s="15"/>
    </row>
    <row r="849" spans="1:12" ht="29.25" customHeight="1" x14ac:dyDescent="0.25">
      <c r="A849" s="308" t="s">
        <v>785</v>
      </c>
      <c r="B849" s="260" t="s">
        <v>1196</v>
      </c>
      <c r="C849" s="372">
        <v>2024</v>
      </c>
      <c r="D849" s="249">
        <v>0.4</v>
      </c>
      <c r="E849" s="300">
        <v>1</v>
      </c>
      <c r="F849" s="301">
        <v>15</v>
      </c>
      <c r="G849" s="244">
        <v>18.51482</v>
      </c>
      <c r="L849" s="15"/>
    </row>
    <row r="850" spans="1:12" ht="29.25" customHeight="1" x14ac:dyDescent="0.25">
      <c r="A850" s="308" t="s">
        <v>784</v>
      </c>
      <c r="B850" s="260" t="s">
        <v>1197</v>
      </c>
      <c r="C850" s="372">
        <v>2024</v>
      </c>
      <c r="D850" s="249">
        <v>0.4</v>
      </c>
      <c r="E850" s="300">
        <v>1</v>
      </c>
      <c r="F850" s="301">
        <v>2</v>
      </c>
      <c r="G850" s="244">
        <v>10.750360000000001</v>
      </c>
      <c r="L850" s="15"/>
    </row>
    <row r="851" spans="1:12" ht="29.25" customHeight="1" x14ac:dyDescent="0.25">
      <c r="A851" s="308" t="s">
        <v>784</v>
      </c>
      <c r="B851" s="260" t="s">
        <v>1198</v>
      </c>
      <c r="C851" s="372">
        <v>2024</v>
      </c>
      <c r="D851" s="249">
        <v>0.4</v>
      </c>
      <c r="E851" s="300">
        <v>1</v>
      </c>
      <c r="F851" s="301">
        <v>10</v>
      </c>
      <c r="G851" s="244">
        <v>13.012600000000001</v>
      </c>
      <c r="L851" s="15"/>
    </row>
    <row r="852" spans="1:12" ht="29.25" customHeight="1" x14ac:dyDescent="0.25">
      <c r="A852" s="308" t="s">
        <v>785</v>
      </c>
      <c r="B852" s="260" t="s">
        <v>1383</v>
      </c>
      <c r="C852" s="372">
        <v>2024</v>
      </c>
      <c r="D852" s="249">
        <v>0.4</v>
      </c>
      <c r="E852" s="300">
        <v>1</v>
      </c>
      <c r="F852" s="301">
        <v>15</v>
      </c>
      <c r="G852" s="244">
        <v>24.203900000000001</v>
      </c>
      <c r="L852" s="15"/>
    </row>
    <row r="853" spans="1:12" ht="29.25" customHeight="1" x14ac:dyDescent="0.25">
      <c r="A853" s="308" t="s">
        <v>785</v>
      </c>
      <c r="B853" s="260" t="s">
        <v>1199</v>
      </c>
      <c r="C853" s="372">
        <v>2024</v>
      </c>
      <c r="D853" s="249">
        <v>0.4</v>
      </c>
      <c r="E853" s="300">
        <v>1</v>
      </c>
      <c r="F853" s="301">
        <v>15</v>
      </c>
      <c r="G853" s="244">
        <v>24.088699999999999</v>
      </c>
      <c r="L853" s="15"/>
    </row>
    <row r="854" spans="1:12" ht="29.25" customHeight="1" x14ac:dyDescent="0.25">
      <c r="A854" s="308" t="s">
        <v>784</v>
      </c>
      <c r="B854" s="260" t="s">
        <v>1200</v>
      </c>
      <c r="C854" s="372">
        <v>2024</v>
      </c>
      <c r="D854" s="249">
        <v>0.4</v>
      </c>
      <c r="E854" s="300">
        <v>1</v>
      </c>
      <c r="F854" s="301">
        <v>5</v>
      </c>
      <c r="G854" s="244">
        <v>24.272729999999999</v>
      </c>
      <c r="L854" s="15"/>
    </row>
    <row r="855" spans="1:12" ht="29.25" customHeight="1" x14ac:dyDescent="0.25">
      <c r="A855" s="293" t="s">
        <v>786</v>
      </c>
      <c r="B855" s="260" t="s">
        <v>1201</v>
      </c>
      <c r="C855" s="372">
        <v>2024</v>
      </c>
      <c r="D855" s="249">
        <v>0.4</v>
      </c>
      <c r="E855" s="300">
        <v>1</v>
      </c>
      <c r="F855" s="301">
        <v>130</v>
      </c>
      <c r="G855" s="244">
        <v>17.841270000000002</v>
      </c>
      <c r="L855" s="15"/>
    </row>
    <row r="856" spans="1:12" ht="29.25" customHeight="1" x14ac:dyDescent="0.25">
      <c r="A856" s="293" t="s">
        <v>785</v>
      </c>
      <c r="B856" s="260" t="s">
        <v>1202</v>
      </c>
      <c r="C856" s="372">
        <v>2024</v>
      </c>
      <c r="D856" s="249">
        <v>0.4</v>
      </c>
      <c r="E856" s="300">
        <v>1</v>
      </c>
      <c r="F856" s="301">
        <v>30</v>
      </c>
      <c r="G856" s="244">
        <v>30.63888</v>
      </c>
      <c r="L856" s="15"/>
    </row>
    <row r="857" spans="1:12" ht="29.25" customHeight="1" x14ac:dyDescent="0.25">
      <c r="A857" s="293" t="s">
        <v>786</v>
      </c>
      <c r="B857" s="260" t="s">
        <v>1389</v>
      </c>
      <c r="C857" s="372">
        <v>2024</v>
      </c>
      <c r="D857" s="249">
        <v>0.4</v>
      </c>
      <c r="E857" s="300">
        <v>1</v>
      </c>
      <c r="F857" s="301">
        <v>150</v>
      </c>
      <c r="G857" s="244">
        <v>26.505890000000001</v>
      </c>
      <c r="L857" s="15"/>
    </row>
    <row r="858" spans="1:12" ht="29.25" customHeight="1" x14ac:dyDescent="0.25">
      <c r="A858" s="308" t="s">
        <v>785</v>
      </c>
      <c r="B858" s="260" t="s">
        <v>1203</v>
      </c>
      <c r="C858" s="372">
        <v>2024</v>
      </c>
      <c r="D858" s="249">
        <v>0.4</v>
      </c>
      <c r="E858" s="300">
        <v>1</v>
      </c>
      <c r="F858" s="301">
        <v>15</v>
      </c>
      <c r="G858" s="244">
        <v>27.259419999999999</v>
      </c>
      <c r="L858" s="15"/>
    </row>
    <row r="859" spans="1:12" ht="29.25" customHeight="1" x14ac:dyDescent="0.25">
      <c r="A859" s="293" t="s">
        <v>786</v>
      </c>
      <c r="B859" s="260" t="s">
        <v>1204</v>
      </c>
      <c r="C859" s="372">
        <v>2024</v>
      </c>
      <c r="D859" s="249">
        <v>0.4</v>
      </c>
      <c r="E859" s="300">
        <v>1</v>
      </c>
      <c r="F859" s="301">
        <v>60</v>
      </c>
      <c r="G859" s="244">
        <v>16.665900000000001</v>
      </c>
      <c r="L859" s="15"/>
    </row>
    <row r="860" spans="1:12" ht="29.25" customHeight="1" x14ac:dyDescent="0.25">
      <c r="A860" s="308" t="s">
        <v>784</v>
      </c>
      <c r="B860" s="260" t="s">
        <v>1205</v>
      </c>
      <c r="C860" s="372">
        <v>2024</v>
      </c>
      <c r="D860" s="249">
        <v>0.4</v>
      </c>
      <c r="E860" s="300">
        <v>1</v>
      </c>
      <c r="F860" s="301">
        <v>13</v>
      </c>
      <c r="G860" s="244">
        <v>13.37506</v>
      </c>
      <c r="L860" s="15"/>
    </row>
    <row r="861" spans="1:12" ht="29.25" customHeight="1" x14ac:dyDescent="0.25">
      <c r="A861" s="224" t="s">
        <v>785</v>
      </c>
      <c r="B861" s="260" t="s">
        <v>1206</v>
      </c>
      <c r="C861" s="372">
        <v>2024</v>
      </c>
      <c r="D861" s="249">
        <v>0.4</v>
      </c>
      <c r="E861" s="300">
        <v>1</v>
      </c>
      <c r="F861" s="309">
        <v>7.5</v>
      </c>
      <c r="G861" s="244">
        <v>24.203900000000001</v>
      </c>
      <c r="L861" s="15"/>
    </row>
    <row r="862" spans="1:12" ht="29.25" customHeight="1" x14ac:dyDescent="0.25">
      <c r="A862" s="308" t="s">
        <v>784</v>
      </c>
      <c r="B862" s="260" t="s">
        <v>1207</v>
      </c>
      <c r="C862" s="372">
        <v>2024</v>
      </c>
      <c r="D862" s="249">
        <v>0.4</v>
      </c>
      <c r="E862" s="300">
        <v>1</v>
      </c>
      <c r="F862" s="301">
        <v>13</v>
      </c>
      <c r="G862" s="244">
        <v>13.37506</v>
      </c>
      <c r="L862" s="15"/>
    </row>
    <row r="863" spans="1:12" ht="29.25" customHeight="1" x14ac:dyDescent="0.25">
      <c r="A863" s="308" t="s">
        <v>784</v>
      </c>
      <c r="B863" s="260" t="s">
        <v>1208</v>
      </c>
      <c r="C863" s="372">
        <v>2024</v>
      </c>
      <c r="D863" s="249">
        <v>0.4</v>
      </c>
      <c r="E863" s="300">
        <v>1</v>
      </c>
      <c r="F863" s="301">
        <v>5</v>
      </c>
      <c r="G863" s="244">
        <v>23.492290000000001</v>
      </c>
      <c r="L863" s="15"/>
    </row>
    <row r="864" spans="1:12" ht="29.25" customHeight="1" x14ac:dyDescent="0.25">
      <c r="A864" s="224" t="s">
        <v>785</v>
      </c>
      <c r="B864" s="260" t="s">
        <v>1209</v>
      </c>
      <c r="C864" s="372">
        <v>2024</v>
      </c>
      <c r="D864" s="249">
        <v>0.4</v>
      </c>
      <c r="E864" s="300">
        <v>1</v>
      </c>
      <c r="F864" s="309">
        <v>7.5</v>
      </c>
      <c r="G864" s="244">
        <v>27.288979999999999</v>
      </c>
      <c r="L864" s="15"/>
    </row>
    <row r="865" spans="1:12" ht="29.25" customHeight="1" x14ac:dyDescent="0.25">
      <c r="A865" s="308" t="s">
        <v>784</v>
      </c>
      <c r="B865" s="260" t="s">
        <v>1210</v>
      </c>
      <c r="C865" s="372">
        <v>2024</v>
      </c>
      <c r="D865" s="249">
        <v>0.4</v>
      </c>
      <c r="E865" s="300">
        <v>1</v>
      </c>
      <c r="F865" s="301">
        <v>5</v>
      </c>
      <c r="G865" s="244">
        <v>11.108930000000001</v>
      </c>
      <c r="L865" s="15"/>
    </row>
    <row r="866" spans="1:12" ht="29.25" customHeight="1" x14ac:dyDescent="0.25">
      <c r="A866" s="264" t="s">
        <v>1400</v>
      </c>
      <c r="B866" s="260" t="s">
        <v>1211</v>
      </c>
      <c r="C866" s="372">
        <v>2024</v>
      </c>
      <c r="D866" s="249">
        <v>10</v>
      </c>
      <c r="E866" s="300">
        <v>1</v>
      </c>
      <c r="F866" s="301">
        <v>2000</v>
      </c>
      <c r="G866" s="244">
        <v>28.278320000000001</v>
      </c>
      <c r="L866" s="15"/>
    </row>
    <row r="867" spans="1:12" ht="29.25" customHeight="1" x14ac:dyDescent="0.25">
      <c r="A867" s="308" t="s">
        <v>785</v>
      </c>
      <c r="B867" s="260" t="s">
        <v>1212</v>
      </c>
      <c r="C867" s="372">
        <v>2024</v>
      </c>
      <c r="D867" s="249">
        <v>0.4</v>
      </c>
      <c r="E867" s="300">
        <v>1</v>
      </c>
      <c r="F867" s="301">
        <v>15</v>
      </c>
      <c r="G867" s="244">
        <v>31.756550000000001</v>
      </c>
      <c r="L867" s="15"/>
    </row>
    <row r="868" spans="1:12" ht="29.25" customHeight="1" x14ac:dyDescent="0.25">
      <c r="A868" s="308" t="s">
        <v>785</v>
      </c>
      <c r="B868" s="260" t="s">
        <v>1213</v>
      </c>
      <c r="C868" s="372">
        <v>2024</v>
      </c>
      <c r="D868" s="249">
        <v>0.4</v>
      </c>
      <c r="E868" s="300">
        <v>1</v>
      </c>
      <c r="F868" s="301">
        <v>15</v>
      </c>
      <c r="G868" s="244">
        <v>27.259439999999998</v>
      </c>
      <c r="L868" s="15"/>
    </row>
    <row r="869" spans="1:12" ht="29.25" customHeight="1" x14ac:dyDescent="0.25">
      <c r="A869" s="293" t="s">
        <v>786</v>
      </c>
      <c r="B869" s="260" t="s">
        <v>1214</v>
      </c>
      <c r="C869" s="372">
        <v>2024</v>
      </c>
      <c r="D869" s="249">
        <v>0.4</v>
      </c>
      <c r="E869" s="300">
        <v>2</v>
      </c>
      <c r="F869" s="301">
        <v>50</v>
      </c>
      <c r="G869" s="244">
        <v>7.2575500000000002</v>
      </c>
      <c r="L869" s="15"/>
    </row>
    <row r="870" spans="1:12" ht="29.25" customHeight="1" x14ac:dyDescent="0.25">
      <c r="A870" s="224" t="s">
        <v>785</v>
      </c>
      <c r="B870" s="260" t="s">
        <v>1215</v>
      </c>
      <c r="C870" s="372">
        <v>2024</v>
      </c>
      <c r="D870" s="249">
        <v>0.4</v>
      </c>
      <c r="E870" s="300">
        <v>1</v>
      </c>
      <c r="F870" s="309">
        <v>7.5</v>
      </c>
      <c r="G870" s="244">
        <v>24.272729999999999</v>
      </c>
      <c r="L870" s="15"/>
    </row>
    <row r="871" spans="1:12" ht="29.25" customHeight="1" x14ac:dyDescent="0.25">
      <c r="A871" s="308" t="s">
        <v>784</v>
      </c>
      <c r="B871" s="260" t="s">
        <v>1384</v>
      </c>
      <c r="C871" s="372">
        <v>2024</v>
      </c>
      <c r="D871" s="249">
        <v>0.4</v>
      </c>
      <c r="E871" s="300">
        <v>1</v>
      </c>
      <c r="F871" s="301">
        <v>5</v>
      </c>
      <c r="G871" s="244">
        <v>18.624130000000001</v>
      </c>
      <c r="L871" s="15"/>
    </row>
    <row r="872" spans="1:12" ht="29.25" customHeight="1" x14ac:dyDescent="0.25">
      <c r="A872" s="224" t="s">
        <v>785</v>
      </c>
      <c r="B872" s="260" t="s">
        <v>1216</v>
      </c>
      <c r="C872" s="372">
        <v>2024</v>
      </c>
      <c r="D872" s="249">
        <v>0.4</v>
      </c>
      <c r="E872" s="300">
        <v>1</v>
      </c>
      <c r="F872" s="309">
        <v>7.5</v>
      </c>
      <c r="G872" s="244">
        <v>24.157490000000003</v>
      </c>
      <c r="L872" s="15"/>
    </row>
    <row r="873" spans="1:12" ht="29.25" customHeight="1" x14ac:dyDescent="0.25">
      <c r="A873" s="293" t="s">
        <v>786</v>
      </c>
      <c r="B873" s="260" t="s">
        <v>1217</v>
      </c>
      <c r="C873" s="372">
        <v>2024</v>
      </c>
      <c r="D873" s="249">
        <v>0.4</v>
      </c>
      <c r="E873" s="300">
        <v>2</v>
      </c>
      <c r="F873" s="301">
        <v>56</v>
      </c>
      <c r="G873" s="244">
        <v>53.617080000000001</v>
      </c>
      <c r="L873" s="15"/>
    </row>
    <row r="874" spans="1:12" ht="29.25" customHeight="1" x14ac:dyDescent="0.25">
      <c r="A874" s="308" t="s">
        <v>785</v>
      </c>
      <c r="B874" s="260" t="s">
        <v>1218</v>
      </c>
      <c r="C874" s="372">
        <v>2024</v>
      </c>
      <c r="D874" s="249">
        <v>0.4</v>
      </c>
      <c r="E874" s="300">
        <v>1</v>
      </c>
      <c r="F874" s="301">
        <v>15</v>
      </c>
      <c r="G874" s="244">
        <v>24.214119999999998</v>
      </c>
      <c r="L874" s="15"/>
    </row>
    <row r="875" spans="1:12" ht="29.25" customHeight="1" x14ac:dyDescent="0.25">
      <c r="A875" s="308" t="s">
        <v>785</v>
      </c>
      <c r="B875" s="260" t="s">
        <v>1219</v>
      </c>
      <c r="C875" s="372">
        <v>2024</v>
      </c>
      <c r="D875" s="249">
        <v>0.4</v>
      </c>
      <c r="E875" s="300">
        <v>1</v>
      </c>
      <c r="F875" s="301">
        <v>15</v>
      </c>
      <c r="G875" s="244">
        <v>24.088699999999999</v>
      </c>
      <c r="L875" s="15"/>
    </row>
    <row r="876" spans="1:12" ht="29.25" customHeight="1" x14ac:dyDescent="0.25">
      <c r="A876" s="224" t="s">
        <v>785</v>
      </c>
      <c r="B876" s="260" t="s">
        <v>1220</v>
      </c>
      <c r="C876" s="372">
        <v>2024</v>
      </c>
      <c r="D876" s="249">
        <v>0.4</v>
      </c>
      <c r="E876" s="300">
        <v>1</v>
      </c>
      <c r="F876" s="301">
        <v>10</v>
      </c>
      <c r="G876" s="244">
        <v>24.088709999999999</v>
      </c>
      <c r="L876" s="15"/>
    </row>
    <row r="877" spans="1:12" ht="29.25" customHeight="1" x14ac:dyDescent="0.25">
      <c r="A877" s="308" t="s">
        <v>784</v>
      </c>
      <c r="B877" s="260" t="s">
        <v>1221</v>
      </c>
      <c r="C877" s="372">
        <v>2024</v>
      </c>
      <c r="D877" s="249">
        <v>0.4</v>
      </c>
      <c r="E877" s="300">
        <v>1</v>
      </c>
      <c r="F877" s="301">
        <v>5</v>
      </c>
      <c r="G877" s="244">
        <v>21.137319999999999</v>
      </c>
      <c r="L877" s="15"/>
    </row>
    <row r="878" spans="1:12" ht="29.25" customHeight="1" x14ac:dyDescent="0.25">
      <c r="A878" s="264" t="s">
        <v>1400</v>
      </c>
      <c r="B878" s="260" t="s">
        <v>1222</v>
      </c>
      <c r="C878" s="372">
        <v>2024</v>
      </c>
      <c r="D878" s="249">
        <v>6</v>
      </c>
      <c r="E878" s="300">
        <v>1</v>
      </c>
      <c r="F878" s="301">
        <v>140</v>
      </c>
      <c r="G878" s="244">
        <v>28.13646</v>
      </c>
      <c r="L878" s="15"/>
    </row>
    <row r="879" spans="1:12" ht="29.25" customHeight="1" x14ac:dyDescent="0.25">
      <c r="A879" s="308" t="s">
        <v>785</v>
      </c>
      <c r="B879" s="260" t="s">
        <v>1223</v>
      </c>
      <c r="C879" s="372">
        <v>2024</v>
      </c>
      <c r="D879" s="249">
        <v>0.4</v>
      </c>
      <c r="E879" s="300">
        <v>1</v>
      </c>
      <c r="F879" s="301">
        <v>15</v>
      </c>
      <c r="G879" s="244">
        <v>23.986349999999998</v>
      </c>
      <c r="L879" s="15"/>
    </row>
    <row r="880" spans="1:12" ht="29.25" customHeight="1" x14ac:dyDescent="0.25">
      <c r="A880" s="308" t="s">
        <v>784</v>
      </c>
      <c r="B880" s="260" t="s">
        <v>1224</v>
      </c>
      <c r="C880" s="372">
        <v>2024</v>
      </c>
      <c r="D880" s="249">
        <v>0.4</v>
      </c>
      <c r="E880" s="300">
        <v>1</v>
      </c>
      <c r="F880" s="301">
        <v>7</v>
      </c>
      <c r="G880" s="244">
        <v>18.857800000000001</v>
      </c>
      <c r="L880" s="15"/>
    </row>
    <row r="881" spans="1:12" ht="29.25" customHeight="1" x14ac:dyDescent="0.25">
      <c r="A881" s="308" t="s">
        <v>784</v>
      </c>
      <c r="B881" s="260" t="s">
        <v>1225</v>
      </c>
      <c r="C881" s="372">
        <v>2024</v>
      </c>
      <c r="D881" s="249">
        <v>0.4</v>
      </c>
      <c r="E881" s="300">
        <v>1</v>
      </c>
      <c r="F881" s="301">
        <v>5</v>
      </c>
      <c r="G881" s="244">
        <v>18.572419999999997</v>
      </c>
      <c r="L881" s="15"/>
    </row>
    <row r="882" spans="1:12" ht="29.25" customHeight="1" x14ac:dyDescent="0.25">
      <c r="A882" s="308" t="s">
        <v>784</v>
      </c>
      <c r="B882" s="260" t="s">
        <v>1226</v>
      </c>
      <c r="C882" s="372">
        <v>2024</v>
      </c>
      <c r="D882" s="249">
        <v>0.4</v>
      </c>
      <c r="E882" s="300">
        <v>1</v>
      </c>
      <c r="F882" s="301">
        <v>5</v>
      </c>
      <c r="G882" s="244">
        <v>23.381619999999998</v>
      </c>
      <c r="L882" s="15"/>
    </row>
    <row r="883" spans="1:12" ht="29.25" customHeight="1" x14ac:dyDescent="0.25">
      <c r="A883" s="308" t="s">
        <v>784</v>
      </c>
      <c r="B883" s="260" t="s">
        <v>1227</v>
      </c>
      <c r="C883" s="372">
        <v>2024</v>
      </c>
      <c r="D883" s="249">
        <v>0.4</v>
      </c>
      <c r="E883" s="300">
        <v>1</v>
      </c>
      <c r="F883" s="301">
        <v>10</v>
      </c>
      <c r="G883" s="244">
        <v>18.572419999999997</v>
      </c>
      <c r="L883" s="15"/>
    </row>
    <row r="884" spans="1:12" ht="29.25" customHeight="1" x14ac:dyDescent="0.25">
      <c r="A884" s="308" t="s">
        <v>784</v>
      </c>
      <c r="B884" s="260" t="s">
        <v>1228</v>
      </c>
      <c r="C884" s="372">
        <v>2024</v>
      </c>
      <c r="D884" s="249">
        <v>0.4</v>
      </c>
      <c r="E884" s="300">
        <v>1</v>
      </c>
      <c r="F884" s="301">
        <v>5</v>
      </c>
      <c r="G884" s="244">
        <v>18.51482</v>
      </c>
      <c r="L884" s="15"/>
    </row>
    <row r="885" spans="1:12" ht="29.25" customHeight="1" x14ac:dyDescent="0.25">
      <c r="A885" s="308" t="s">
        <v>784</v>
      </c>
      <c r="B885" s="260" t="s">
        <v>1229</v>
      </c>
      <c r="C885" s="372">
        <v>2024</v>
      </c>
      <c r="D885" s="249">
        <v>0.4</v>
      </c>
      <c r="E885" s="300">
        <v>1</v>
      </c>
      <c r="F885" s="301">
        <v>14</v>
      </c>
      <c r="G885" s="244">
        <v>18.572419999999997</v>
      </c>
      <c r="L885" s="15"/>
    </row>
    <row r="886" spans="1:12" ht="29.25" customHeight="1" x14ac:dyDescent="0.25">
      <c r="A886" s="308" t="s">
        <v>785</v>
      </c>
      <c r="B886" s="260" t="s">
        <v>1230</v>
      </c>
      <c r="C886" s="372">
        <v>2024</v>
      </c>
      <c r="D886" s="249">
        <v>0.4</v>
      </c>
      <c r="E886" s="300">
        <v>1</v>
      </c>
      <c r="F886" s="301">
        <v>15</v>
      </c>
      <c r="G886" s="244">
        <v>34.564500000000002</v>
      </c>
      <c r="L886" s="15"/>
    </row>
    <row r="887" spans="1:12" ht="29.25" customHeight="1" x14ac:dyDescent="0.25">
      <c r="A887" s="308" t="s">
        <v>784</v>
      </c>
      <c r="B887" s="260" t="s">
        <v>1231</v>
      </c>
      <c r="C887" s="372">
        <v>2024</v>
      </c>
      <c r="D887" s="249">
        <v>0.4</v>
      </c>
      <c r="E887" s="300">
        <v>1</v>
      </c>
      <c r="F887" s="301">
        <v>6</v>
      </c>
      <c r="G887" s="244">
        <v>18.251619999999999</v>
      </c>
      <c r="L887" s="15"/>
    </row>
    <row r="888" spans="1:12" ht="29.25" customHeight="1" x14ac:dyDescent="0.25">
      <c r="A888" s="308" t="s">
        <v>785</v>
      </c>
      <c r="B888" s="260" t="s">
        <v>1232</v>
      </c>
      <c r="C888" s="372">
        <v>2024</v>
      </c>
      <c r="D888" s="249">
        <v>0.4</v>
      </c>
      <c r="E888" s="300">
        <v>1</v>
      </c>
      <c r="F888" s="301">
        <v>15</v>
      </c>
      <c r="G888" s="244">
        <v>23.87115</v>
      </c>
      <c r="L888" s="15"/>
    </row>
    <row r="889" spans="1:12" ht="29.25" customHeight="1" x14ac:dyDescent="0.25">
      <c r="A889" s="308" t="s">
        <v>785</v>
      </c>
      <c r="B889" s="260" t="s">
        <v>1233</v>
      </c>
      <c r="C889" s="372">
        <v>2024</v>
      </c>
      <c r="D889" s="249">
        <v>0.4</v>
      </c>
      <c r="E889" s="300">
        <v>1</v>
      </c>
      <c r="F889" s="301">
        <v>15</v>
      </c>
      <c r="G889" s="244">
        <v>34.775460000000002</v>
      </c>
      <c r="L889" s="15"/>
    </row>
    <row r="890" spans="1:12" ht="29.25" customHeight="1" x14ac:dyDescent="0.25">
      <c r="A890" s="308" t="s">
        <v>785</v>
      </c>
      <c r="B890" s="260" t="s">
        <v>1234</v>
      </c>
      <c r="C890" s="372">
        <v>2024</v>
      </c>
      <c r="D890" s="249">
        <v>0.4</v>
      </c>
      <c r="E890" s="300">
        <v>1</v>
      </c>
      <c r="F890" s="301">
        <v>15</v>
      </c>
      <c r="G890" s="244">
        <v>23.958299999999998</v>
      </c>
      <c r="L890" s="15"/>
    </row>
    <row r="891" spans="1:12" ht="29.25" customHeight="1" x14ac:dyDescent="0.25">
      <c r="A891" s="308" t="s">
        <v>785</v>
      </c>
      <c r="B891" s="260" t="s">
        <v>1235</v>
      </c>
      <c r="C891" s="372">
        <v>2024</v>
      </c>
      <c r="D891" s="249">
        <v>0.4</v>
      </c>
      <c r="E891" s="300">
        <v>1</v>
      </c>
      <c r="F891" s="301">
        <v>15</v>
      </c>
      <c r="G891" s="244">
        <v>24.258700000000001</v>
      </c>
      <c r="L891" s="15"/>
    </row>
    <row r="892" spans="1:12" ht="29.25" customHeight="1" x14ac:dyDescent="0.25">
      <c r="A892" s="308" t="s">
        <v>784</v>
      </c>
      <c r="B892" s="260" t="s">
        <v>1236</v>
      </c>
      <c r="C892" s="372">
        <v>2024</v>
      </c>
      <c r="D892" s="249">
        <v>0.4</v>
      </c>
      <c r="E892" s="300">
        <v>1</v>
      </c>
      <c r="F892" s="301">
        <v>10</v>
      </c>
      <c r="G892" s="244">
        <v>17.914570000000001</v>
      </c>
      <c r="L892" s="15"/>
    </row>
    <row r="893" spans="1:12" ht="29.25" customHeight="1" x14ac:dyDescent="0.25">
      <c r="A893" s="308" t="s">
        <v>785</v>
      </c>
      <c r="B893" s="260" t="s">
        <v>1237</v>
      </c>
      <c r="C893" s="372">
        <v>2024</v>
      </c>
      <c r="D893" s="249">
        <v>0.4</v>
      </c>
      <c r="E893" s="300">
        <v>1</v>
      </c>
      <c r="F893" s="301">
        <v>15</v>
      </c>
      <c r="G893" s="244">
        <v>24.18271</v>
      </c>
      <c r="L893" s="15"/>
    </row>
    <row r="894" spans="1:12" ht="29.25" customHeight="1" x14ac:dyDescent="0.25">
      <c r="A894" s="308" t="s">
        <v>784</v>
      </c>
      <c r="B894" s="260" t="s">
        <v>1238</v>
      </c>
      <c r="C894" s="372">
        <v>2024</v>
      </c>
      <c r="D894" s="249">
        <v>0.4</v>
      </c>
      <c r="E894" s="300">
        <v>1</v>
      </c>
      <c r="F894" s="301">
        <v>5</v>
      </c>
      <c r="G894" s="244">
        <v>11.088379999999999</v>
      </c>
      <c r="L894" s="15"/>
    </row>
    <row r="895" spans="1:12" ht="29.25" customHeight="1" x14ac:dyDescent="0.25">
      <c r="A895" s="308" t="s">
        <v>784</v>
      </c>
      <c r="B895" s="260" t="s">
        <v>1239</v>
      </c>
      <c r="C895" s="372">
        <v>2024</v>
      </c>
      <c r="D895" s="249">
        <v>0.4</v>
      </c>
      <c r="E895" s="300">
        <v>1</v>
      </c>
      <c r="F895" s="301">
        <v>5</v>
      </c>
      <c r="G895" s="244">
        <v>23.511700000000001</v>
      </c>
      <c r="L895" s="15"/>
    </row>
    <row r="896" spans="1:12" ht="29.25" customHeight="1" x14ac:dyDescent="0.25">
      <c r="A896" s="308" t="s">
        <v>785</v>
      </c>
      <c r="B896" s="260" t="s">
        <v>1240</v>
      </c>
      <c r="C896" s="372">
        <v>2024</v>
      </c>
      <c r="D896" s="249">
        <v>0.4</v>
      </c>
      <c r="E896" s="300">
        <v>1</v>
      </c>
      <c r="F896" s="301">
        <v>15</v>
      </c>
      <c r="G896" s="244">
        <v>31.711830000000003</v>
      </c>
      <c r="L896" s="15"/>
    </row>
    <row r="897" spans="1:12" ht="29.25" customHeight="1" x14ac:dyDescent="0.25">
      <c r="A897" s="308" t="s">
        <v>785</v>
      </c>
      <c r="B897" s="260" t="s">
        <v>1241</v>
      </c>
      <c r="C897" s="372">
        <v>2024</v>
      </c>
      <c r="D897" s="249">
        <v>0.4</v>
      </c>
      <c r="E897" s="300">
        <v>1</v>
      </c>
      <c r="F897" s="301">
        <v>15</v>
      </c>
      <c r="G897" s="244">
        <v>24.18271</v>
      </c>
      <c r="L897" s="15"/>
    </row>
    <row r="898" spans="1:12" ht="29.25" customHeight="1" x14ac:dyDescent="0.25">
      <c r="A898" s="308" t="s">
        <v>784</v>
      </c>
      <c r="B898" s="260" t="s">
        <v>1242</v>
      </c>
      <c r="C898" s="372">
        <v>2024</v>
      </c>
      <c r="D898" s="249">
        <v>0.4</v>
      </c>
      <c r="E898" s="300">
        <v>1</v>
      </c>
      <c r="F898" s="301">
        <v>5</v>
      </c>
      <c r="G898" s="244">
        <v>23.65896</v>
      </c>
      <c r="L898" s="15"/>
    </row>
    <row r="899" spans="1:12" ht="29.25" customHeight="1" x14ac:dyDescent="0.25">
      <c r="A899" s="308" t="s">
        <v>785</v>
      </c>
      <c r="B899" s="260" t="s">
        <v>1243</v>
      </c>
      <c r="C899" s="372">
        <v>2024</v>
      </c>
      <c r="D899" s="249">
        <v>0.4</v>
      </c>
      <c r="E899" s="300">
        <v>1</v>
      </c>
      <c r="F899" s="301">
        <v>15</v>
      </c>
      <c r="G899" s="244">
        <v>23.870720000000002</v>
      </c>
      <c r="L899" s="15"/>
    </row>
    <row r="900" spans="1:12" ht="29.25" customHeight="1" x14ac:dyDescent="0.25">
      <c r="A900" s="308" t="s">
        <v>785</v>
      </c>
      <c r="B900" s="260" t="s">
        <v>1244</v>
      </c>
      <c r="C900" s="372">
        <v>2024</v>
      </c>
      <c r="D900" s="249">
        <v>0.4</v>
      </c>
      <c r="E900" s="300">
        <v>1</v>
      </c>
      <c r="F900" s="301">
        <v>15</v>
      </c>
      <c r="G900" s="244">
        <v>32.066549999999999</v>
      </c>
      <c r="L900" s="15"/>
    </row>
    <row r="901" spans="1:12" ht="29.25" customHeight="1" x14ac:dyDescent="0.25">
      <c r="A901" s="308" t="s">
        <v>784</v>
      </c>
      <c r="B901" s="260" t="s">
        <v>1245</v>
      </c>
      <c r="C901" s="372">
        <v>2024</v>
      </c>
      <c r="D901" s="249">
        <v>0.4</v>
      </c>
      <c r="E901" s="300">
        <v>1</v>
      </c>
      <c r="F901" s="301">
        <v>5</v>
      </c>
      <c r="G901" s="244">
        <v>23.511700000000001</v>
      </c>
      <c r="L901" s="15"/>
    </row>
    <row r="902" spans="1:12" ht="29.25" customHeight="1" x14ac:dyDescent="0.25">
      <c r="A902" s="308" t="s">
        <v>785</v>
      </c>
      <c r="B902" s="260" t="s">
        <v>1246</v>
      </c>
      <c r="C902" s="372">
        <v>2024</v>
      </c>
      <c r="D902" s="249">
        <v>0.4</v>
      </c>
      <c r="E902" s="300">
        <v>1</v>
      </c>
      <c r="F902" s="301">
        <v>15</v>
      </c>
      <c r="G902" s="244">
        <v>34.775449999999999</v>
      </c>
      <c r="L902" s="15"/>
    </row>
    <row r="903" spans="1:12" ht="29.25" customHeight="1" x14ac:dyDescent="0.25">
      <c r="A903" s="308" t="s">
        <v>785</v>
      </c>
      <c r="B903" s="260" t="s">
        <v>1247</v>
      </c>
      <c r="C903" s="372">
        <v>2024</v>
      </c>
      <c r="D903" s="249">
        <v>0.4</v>
      </c>
      <c r="E903" s="300">
        <v>1</v>
      </c>
      <c r="F903" s="301">
        <v>15</v>
      </c>
      <c r="G903" s="244">
        <v>24.18272</v>
      </c>
      <c r="L903" s="15"/>
    </row>
    <row r="904" spans="1:12" ht="29.25" customHeight="1" x14ac:dyDescent="0.25">
      <c r="A904" s="308" t="s">
        <v>784</v>
      </c>
      <c r="B904" s="260" t="s">
        <v>1248</v>
      </c>
      <c r="C904" s="372">
        <v>2024</v>
      </c>
      <c r="D904" s="249">
        <v>0.4</v>
      </c>
      <c r="E904" s="300">
        <v>1</v>
      </c>
      <c r="F904" s="301">
        <v>11</v>
      </c>
      <c r="G904" s="244">
        <v>18.7395</v>
      </c>
      <c r="L904" s="15"/>
    </row>
    <row r="905" spans="1:12" ht="29.25" customHeight="1" x14ac:dyDescent="0.25">
      <c r="A905" s="293" t="s">
        <v>786</v>
      </c>
      <c r="B905" s="260" t="s">
        <v>1249</v>
      </c>
      <c r="C905" s="372">
        <v>2024</v>
      </c>
      <c r="D905" s="249">
        <v>0.4</v>
      </c>
      <c r="E905" s="300">
        <v>1</v>
      </c>
      <c r="F905" s="301">
        <v>75</v>
      </c>
      <c r="G905" s="244">
        <v>25.361889999999999</v>
      </c>
      <c r="L905" s="15"/>
    </row>
    <row r="906" spans="1:12" ht="29.25" customHeight="1" x14ac:dyDescent="0.25">
      <c r="A906" s="308" t="s">
        <v>785</v>
      </c>
      <c r="B906" s="260" t="s">
        <v>1250</v>
      </c>
      <c r="C906" s="372">
        <v>2024</v>
      </c>
      <c r="D906" s="249">
        <v>0.4</v>
      </c>
      <c r="E906" s="300">
        <v>1</v>
      </c>
      <c r="F906" s="301">
        <v>15</v>
      </c>
      <c r="G906" s="244">
        <v>24.3447</v>
      </c>
      <c r="L906" s="15"/>
    </row>
    <row r="907" spans="1:12" ht="29.25" customHeight="1" x14ac:dyDescent="0.25">
      <c r="A907" s="308" t="s">
        <v>784</v>
      </c>
      <c r="B907" s="260" t="s">
        <v>1251</v>
      </c>
      <c r="C907" s="372">
        <v>2024</v>
      </c>
      <c r="D907" s="249">
        <v>0.4</v>
      </c>
      <c r="E907" s="300">
        <v>1</v>
      </c>
      <c r="F907" s="301">
        <v>5</v>
      </c>
      <c r="G907" s="244">
        <v>18.624099999999999</v>
      </c>
      <c r="L907" s="15"/>
    </row>
    <row r="908" spans="1:12" ht="29.25" customHeight="1" x14ac:dyDescent="0.25">
      <c r="A908" s="224" t="s">
        <v>785</v>
      </c>
      <c r="B908" s="260" t="s">
        <v>1252</v>
      </c>
      <c r="C908" s="372">
        <v>2024</v>
      </c>
      <c r="D908" s="249">
        <v>0.4</v>
      </c>
      <c r="E908" s="300">
        <v>1</v>
      </c>
      <c r="F908" s="301">
        <v>10</v>
      </c>
      <c r="G908" s="244">
        <v>24.088709999999999</v>
      </c>
      <c r="L908" s="15"/>
    </row>
    <row r="909" spans="1:12" ht="29.25" customHeight="1" x14ac:dyDescent="0.25">
      <c r="A909" s="308" t="s">
        <v>785</v>
      </c>
      <c r="B909" s="260" t="s">
        <v>1253</v>
      </c>
      <c r="C909" s="372">
        <v>2024</v>
      </c>
      <c r="D909" s="249">
        <v>0.4</v>
      </c>
      <c r="E909" s="300">
        <v>1</v>
      </c>
      <c r="F909" s="301">
        <v>15</v>
      </c>
      <c r="G909" s="244">
        <v>24.088709999999999</v>
      </c>
      <c r="L909" s="15"/>
    </row>
    <row r="910" spans="1:12" ht="29.25" customHeight="1" x14ac:dyDescent="0.25">
      <c r="A910" s="308" t="s">
        <v>785</v>
      </c>
      <c r="B910" s="260" t="s">
        <v>1254</v>
      </c>
      <c r="C910" s="372">
        <v>2024</v>
      </c>
      <c r="D910" s="249">
        <v>0.4</v>
      </c>
      <c r="E910" s="300">
        <v>1</v>
      </c>
      <c r="F910" s="301">
        <v>15</v>
      </c>
      <c r="G910" s="244">
        <v>34.644199999999998</v>
      </c>
      <c r="L910" s="15"/>
    </row>
    <row r="911" spans="1:12" ht="29.25" customHeight="1" x14ac:dyDescent="0.25">
      <c r="A911" s="224" t="s">
        <v>786</v>
      </c>
      <c r="B911" s="260" t="s">
        <v>1255</v>
      </c>
      <c r="C911" s="372">
        <v>2024</v>
      </c>
      <c r="D911" s="249">
        <v>0.4</v>
      </c>
      <c r="E911" s="300">
        <v>1</v>
      </c>
      <c r="F911" s="301">
        <v>60</v>
      </c>
      <c r="G911" s="244">
        <v>69.652280000000005</v>
      </c>
      <c r="L911" s="15"/>
    </row>
    <row r="912" spans="1:12" ht="29.25" customHeight="1" x14ac:dyDescent="0.25">
      <c r="A912" s="308" t="s">
        <v>784</v>
      </c>
      <c r="B912" s="260" t="s">
        <v>1256</v>
      </c>
      <c r="C912" s="372">
        <v>2024</v>
      </c>
      <c r="D912" s="249">
        <v>0.4</v>
      </c>
      <c r="E912" s="300">
        <v>1</v>
      </c>
      <c r="F912" s="301">
        <v>10</v>
      </c>
      <c r="G912" s="244">
        <v>18.572419999999997</v>
      </c>
      <c r="L912" s="15"/>
    </row>
    <row r="913" spans="1:12" ht="29.25" customHeight="1" x14ac:dyDescent="0.25">
      <c r="A913" s="224" t="s">
        <v>785</v>
      </c>
      <c r="B913" s="260" t="s">
        <v>1257</v>
      </c>
      <c r="C913" s="372">
        <v>2024</v>
      </c>
      <c r="D913" s="249">
        <v>0.4</v>
      </c>
      <c r="E913" s="300">
        <v>1</v>
      </c>
      <c r="F913" s="301">
        <v>10</v>
      </c>
      <c r="G913" s="244">
        <v>8.4968899999999987</v>
      </c>
      <c r="L913" s="15"/>
    </row>
    <row r="914" spans="1:12" ht="29.25" customHeight="1" x14ac:dyDescent="0.25">
      <c r="A914" s="293" t="s">
        <v>786</v>
      </c>
      <c r="B914" s="257" t="s">
        <v>1390</v>
      </c>
      <c r="C914" s="372">
        <v>2024</v>
      </c>
      <c r="D914" s="249">
        <v>0.4</v>
      </c>
      <c r="E914" s="300">
        <v>1</v>
      </c>
      <c r="F914" s="301">
        <v>150</v>
      </c>
      <c r="G914" s="244">
        <v>36.620779999999996</v>
      </c>
      <c r="L914" s="15"/>
    </row>
    <row r="915" spans="1:12" ht="29.25" customHeight="1" x14ac:dyDescent="0.25">
      <c r="A915" s="308" t="s">
        <v>785</v>
      </c>
      <c r="B915" s="257" t="s">
        <v>1258</v>
      </c>
      <c r="C915" s="372">
        <v>2024</v>
      </c>
      <c r="D915" s="249">
        <v>0.4</v>
      </c>
      <c r="E915" s="300">
        <v>1</v>
      </c>
      <c r="F915" s="301">
        <v>16</v>
      </c>
      <c r="G915" s="244">
        <v>27.4039</v>
      </c>
      <c r="L915" s="15"/>
    </row>
    <row r="916" spans="1:12" ht="29.25" customHeight="1" x14ac:dyDescent="0.25">
      <c r="A916" s="308" t="s">
        <v>784</v>
      </c>
      <c r="B916" s="257" t="s">
        <v>1259</v>
      </c>
      <c r="C916" s="372">
        <v>2024</v>
      </c>
      <c r="D916" s="249">
        <v>0.4</v>
      </c>
      <c r="E916" s="300">
        <v>1</v>
      </c>
      <c r="F916" s="301">
        <v>10</v>
      </c>
      <c r="G916" s="244">
        <v>18.51482</v>
      </c>
      <c r="L916" s="15"/>
    </row>
    <row r="917" spans="1:12" ht="29.25" customHeight="1" x14ac:dyDescent="0.25">
      <c r="A917" s="308" t="s">
        <v>784</v>
      </c>
      <c r="B917" s="257" t="s">
        <v>1260</v>
      </c>
      <c r="C917" s="372">
        <v>2024</v>
      </c>
      <c r="D917" s="249">
        <v>0.4</v>
      </c>
      <c r="E917" s="300">
        <v>1</v>
      </c>
      <c r="F917" s="301">
        <v>7</v>
      </c>
      <c r="G917" s="244">
        <v>23.381619999999998</v>
      </c>
      <c r="L917" s="15"/>
    </row>
    <row r="918" spans="1:12" ht="29.25" customHeight="1" x14ac:dyDescent="0.25">
      <c r="A918" s="224" t="s">
        <v>785</v>
      </c>
      <c r="B918" s="257" t="s">
        <v>1261</v>
      </c>
      <c r="C918" s="372">
        <v>2024</v>
      </c>
      <c r="D918" s="249">
        <v>0.4</v>
      </c>
      <c r="E918" s="300">
        <v>1</v>
      </c>
      <c r="F918" s="301">
        <v>10</v>
      </c>
      <c r="G918" s="244">
        <v>24.2727</v>
      </c>
      <c r="L918" s="15"/>
    </row>
    <row r="919" spans="1:12" ht="29.25" customHeight="1" x14ac:dyDescent="0.25">
      <c r="A919" s="264" t="s">
        <v>785</v>
      </c>
      <c r="B919" s="257" t="s">
        <v>1262</v>
      </c>
      <c r="C919" s="372">
        <v>2024</v>
      </c>
      <c r="D919" s="249">
        <v>0.4</v>
      </c>
      <c r="E919" s="300">
        <v>1</v>
      </c>
      <c r="F919" s="301">
        <v>35</v>
      </c>
      <c r="G919" s="244">
        <v>24.157520000000002</v>
      </c>
      <c r="L919" s="15"/>
    </row>
    <row r="920" spans="1:12" ht="29.25" customHeight="1" x14ac:dyDescent="0.25">
      <c r="A920" s="308" t="s">
        <v>784</v>
      </c>
      <c r="B920" s="257" t="s">
        <v>1263</v>
      </c>
      <c r="C920" s="372">
        <v>2024</v>
      </c>
      <c r="D920" s="249">
        <v>0.4</v>
      </c>
      <c r="E920" s="300">
        <v>1</v>
      </c>
      <c r="F920" s="301">
        <v>5</v>
      </c>
      <c r="G920" s="244">
        <v>24.253970000000002</v>
      </c>
      <c r="L920" s="15"/>
    </row>
    <row r="921" spans="1:12" ht="29.25" customHeight="1" x14ac:dyDescent="0.25">
      <c r="A921" s="308" t="s">
        <v>785</v>
      </c>
      <c r="B921" s="257" t="s">
        <v>1391</v>
      </c>
      <c r="C921" s="372">
        <v>2024</v>
      </c>
      <c r="D921" s="249">
        <v>0.4</v>
      </c>
      <c r="E921" s="300">
        <v>1</v>
      </c>
      <c r="F921" s="301">
        <v>15</v>
      </c>
      <c r="G921" s="244">
        <v>23.87116</v>
      </c>
      <c r="L921" s="15"/>
    </row>
    <row r="922" spans="1:12" ht="29.25" customHeight="1" x14ac:dyDescent="0.25">
      <c r="A922" s="224" t="s">
        <v>784</v>
      </c>
      <c r="B922" s="257" t="s">
        <v>1264</v>
      </c>
      <c r="C922" s="372">
        <v>2024</v>
      </c>
      <c r="D922" s="249">
        <v>0.4</v>
      </c>
      <c r="E922" s="300">
        <v>1</v>
      </c>
      <c r="F922" s="301">
        <v>10</v>
      </c>
      <c r="G922" s="244">
        <v>24.299959999999999</v>
      </c>
      <c r="L922" s="15"/>
    </row>
    <row r="923" spans="1:12" ht="29.25" customHeight="1" x14ac:dyDescent="0.25">
      <c r="A923" s="308" t="s">
        <v>785</v>
      </c>
      <c r="B923" s="257" t="s">
        <v>1265</v>
      </c>
      <c r="C923" s="372">
        <v>2024</v>
      </c>
      <c r="D923" s="249">
        <v>0.4</v>
      </c>
      <c r="E923" s="300">
        <v>1</v>
      </c>
      <c r="F923" s="301">
        <v>15</v>
      </c>
      <c r="G923" s="244">
        <v>27.295500000000001</v>
      </c>
      <c r="L923" s="15"/>
    </row>
    <row r="924" spans="1:12" ht="29.25" customHeight="1" x14ac:dyDescent="0.25">
      <c r="A924" s="224" t="s">
        <v>784</v>
      </c>
      <c r="B924" s="257" t="s">
        <v>1266</v>
      </c>
      <c r="C924" s="372">
        <v>2024</v>
      </c>
      <c r="D924" s="249">
        <v>0.4</v>
      </c>
      <c r="E924" s="300">
        <v>1</v>
      </c>
      <c r="F924" s="301">
        <v>10</v>
      </c>
      <c r="G924" s="244">
        <v>24.328689999999998</v>
      </c>
      <c r="L924" s="15"/>
    </row>
    <row r="925" spans="1:12" ht="29.25" customHeight="1" x14ac:dyDescent="0.25">
      <c r="A925" s="224" t="s">
        <v>784</v>
      </c>
      <c r="B925" s="257" t="s">
        <v>1267</v>
      </c>
      <c r="C925" s="372">
        <v>2024</v>
      </c>
      <c r="D925" s="249">
        <v>0.4</v>
      </c>
      <c r="E925" s="300">
        <v>1</v>
      </c>
      <c r="F925" s="301">
        <v>10</v>
      </c>
      <c r="G925" s="244">
        <v>18.73949</v>
      </c>
      <c r="L925" s="15"/>
    </row>
    <row r="926" spans="1:12" ht="29.25" customHeight="1" x14ac:dyDescent="0.25">
      <c r="A926" s="308" t="s">
        <v>785</v>
      </c>
      <c r="B926" s="257" t="s">
        <v>1268</v>
      </c>
      <c r="C926" s="372">
        <v>2024</v>
      </c>
      <c r="D926" s="249">
        <v>0.4</v>
      </c>
      <c r="E926" s="300">
        <v>1</v>
      </c>
      <c r="F926" s="301">
        <v>15</v>
      </c>
      <c r="G926" s="244">
        <v>24.272729999999999</v>
      </c>
      <c r="L926" s="15"/>
    </row>
    <row r="927" spans="1:12" ht="29.25" customHeight="1" x14ac:dyDescent="0.25">
      <c r="A927" s="308" t="s">
        <v>784</v>
      </c>
      <c r="B927" s="257" t="s">
        <v>1269</v>
      </c>
      <c r="C927" s="372">
        <v>2024</v>
      </c>
      <c r="D927" s="249">
        <v>0.4</v>
      </c>
      <c r="E927" s="300">
        <v>1</v>
      </c>
      <c r="F927" s="301">
        <v>5</v>
      </c>
      <c r="G927" s="244">
        <v>19.08248</v>
      </c>
      <c r="L927" s="15"/>
    </row>
    <row r="928" spans="1:12" ht="29.25" customHeight="1" x14ac:dyDescent="0.25">
      <c r="A928" s="224" t="s">
        <v>784</v>
      </c>
      <c r="B928" s="257" t="s">
        <v>1270</v>
      </c>
      <c r="C928" s="372">
        <v>2024</v>
      </c>
      <c r="D928" s="249">
        <v>0.4</v>
      </c>
      <c r="E928" s="300">
        <v>1</v>
      </c>
      <c r="F928" s="301">
        <v>7</v>
      </c>
      <c r="G928" s="244">
        <v>18.73948</v>
      </c>
      <c r="L928" s="15"/>
    </row>
    <row r="929" spans="1:12" ht="29.25" customHeight="1" x14ac:dyDescent="0.25">
      <c r="A929" s="308" t="s">
        <v>785</v>
      </c>
      <c r="B929" s="257" t="s">
        <v>1271</v>
      </c>
      <c r="C929" s="372">
        <v>2024</v>
      </c>
      <c r="D929" s="249">
        <v>0.4</v>
      </c>
      <c r="E929" s="300">
        <v>1</v>
      </c>
      <c r="F929" s="301">
        <v>15</v>
      </c>
      <c r="G929" s="244">
        <v>27.46105</v>
      </c>
      <c r="L929" s="15"/>
    </row>
    <row r="930" spans="1:12" ht="29.25" customHeight="1" x14ac:dyDescent="0.25">
      <c r="A930" s="293" t="s">
        <v>786</v>
      </c>
      <c r="B930" s="257" t="s">
        <v>1392</v>
      </c>
      <c r="C930" s="372">
        <v>2024</v>
      </c>
      <c r="D930" s="249">
        <v>0.4</v>
      </c>
      <c r="E930" s="300">
        <v>1</v>
      </c>
      <c r="F930" s="309">
        <v>60</v>
      </c>
      <c r="G930" s="244">
        <v>33.613730000000004</v>
      </c>
      <c r="L930" s="15"/>
    </row>
    <row r="931" spans="1:12" ht="29.25" customHeight="1" x14ac:dyDescent="0.25">
      <c r="A931" s="293" t="s">
        <v>785</v>
      </c>
      <c r="B931" s="257" t="s">
        <v>1272</v>
      </c>
      <c r="C931" s="372">
        <v>2024</v>
      </c>
      <c r="D931" s="249">
        <v>0.4</v>
      </c>
      <c r="E931" s="300">
        <v>1</v>
      </c>
      <c r="F931" s="309">
        <v>15</v>
      </c>
      <c r="G931" s="244">
        <v>24.214119999999998</v>
      </c>
      <c r="L931" s="15"/>
    </row>
    <row r="932" spans="1:12" ht="29.25" customHeight="1" x14ac:dyDescent="0.25">
      <c r="A932" s="224" t="s">
        <v>785</v>
      </c>
      <c r="B932" s="257" t="s">
        <v>1273</v>
      </c>
      <c r="C932" s="372">
        <v>2024</v>
      </c>
      <c r="D932" s="249">
        <v>0.4</v>
      </c>
      <c r="E932" s="300">
        <v>1</v>
      </c>
      <c r="F932" s="309">
        <v>7.5</v>
      </c>
      <c r="G932" s="244">
        <v>24.18272</v>
      </c>
      <c r="L932" s="15"/>
    </row>
    <row r="933" spans="1:12" ht="29.25" customHeight="1" x14ac:dyDescent="0.25">
      <c r="A933" s="308" t="s">
        <v>785</v>
      </c>
      <c r="B933" s="257" t="s">
        <v>1274</v>
      </c>
      <c r="C933" s="372">
        <v>2024</v>
      </c>
      <c r="D933" s="249">
        <v>0.4</v>
      </c>
      <c r="E933" s="300">
        <v>1</v>
      </c>
      <c r="F933" s="301">
        <v>15</v>
      </c>
      <c r="G933" s="244">
        <v>24.184650000000001</v>
      </c>
      <c r="L933" s="15"/>
    </row>
    <row r="934" spans="1:12" ht="29.25" customHeight="1" x14ac:dyDescent="0.25">
      <c r="A934" s="224" t="s">
        <v>785</v>
      </c>
      <c r="B934" s="257" t="s">
        <v>1275</v>
      </c>
      <c r="C934" s="372">
        <v>2024</v>
      </c>
      <c r="D934" s="249">
        <v>0.4</v>
      </c>
      <c r="E934" s="300">
        <v>1</v>
      </c>
      <c r="F934" s="309">
        <v>7.5</v>
      </c>
      <c r="G934" s="244">
        <v>24.579519999999999</v>
      </c>
      <c r="L934" s="15"/>
    </row>
    <row r="935" spans="1:12" ht="29.25" customHeight="1" x14ac:dyDescent="0.25">
      <c r="A935" s="224" t="s">
        <v>785</v>
      </c>
      <c r="B935" s="257" t="s">
        <v>1276</v>
      </c>
      <c r="C935" s="372">
        <v>2024</v>
      </c>
      <c r="D935" s="249">
        <v>0.4</v>
      </c>
      <c r="E935" s="300">
        <v>1</v>
      </c>
      <c r="F935" s="301">
        <v>10</v>
      </c>
      <c r="G935" s="244">
        <v>24.2727</v>
      </c>
      <c r="L935" s="15"/>
    </row>
    <row r="936" spans="1:12" ht="29.25" customHeight="1" x14ac:dyDescent="0.25">
      <c r="A936" s="308" t="s">
        <v>784</v>
      </c>
      <c r="B936" s="257" t="s">
        <v>1277</v>
      </c>
      <c r="C936" s="372">
        <v>2024</v>
      </c>
      <c r="D936" s="249">
        <v>0.4</v>
      </c>
      <c r="E936" s="300">
        <v>1</v>
      </c>
      <c r="F936" s="301">
        <v>5</v>
      </c>
      <c r="G936" s="244">
        <v>24.253990000000002</v>
      </c>
      <c r="L936" s="15"/>
    </row>
    <row r="937" spans="1:12" ht="29.25" customHeight="1" x14ac:dyDescent="0.25">
      <c r="A937" s="308" t="s">
        <v>785</v>
      </c>
      <c r="B937" s="257" t="s">
        <v>1278</v>
      </c>
      <c r="C937" s="372">
        <v>2024</v>
      </c>
      <c r="D937" s="249">
        <v>0.4</v>
      </c>
      <c r="E937" s="300">
        <v>1</v>
      </c>
      <c r="F937" s="301">
        <v>15</v>
      </c>
      <c r="G937" s="244">
        <v>24.2727</v>
      </c>
      <c r="L937" s="15"/>
    </row>
    <row r="938" spans="1:12" ht="29.25" customHeight="1" x14ac:dyDescent="0.25">
      <c r="A938" s="224" t="s">
        <v>785</v>
      </c>
      <c r="B938" s="257" t="s">
        <v>1279</v>
      </c>
      <c r="C938" s="372">
        <v>2024</v>
      </c>
      <c r="D938" s="249">
        <v>0.4</v>
      </c>
      <c r="E938" s="300">
        <v>1</v>
      </c>
      <c r="F938" s="301">
        <v>10</v>
      </c>
      <c r="G938" s="244">
        <v>24.258700000000001</v>
      </c>
      <c r="L938" s="15"/>
    </row>
    <row r="939" spans="1:12" ht="29.25" customHeight="1" x14ac:dyDescent="0.25">
      <c r="A939" s="308" t="s">
        <v>784</v>
      </c>
      <c r="B939" s="257" t="s">
        <v>1280</v>
      </c>
      <c r="C939" s="372">
        <v>2024</v>
      </c>
      <c r="D939" s="249">
        <v>0.4</v>
      </c>
      <c r="E939" s="300">
        <v>1</v>
      </c>
      <c r="F939" s="301">
        <v>3</v>
      </c>
      <c r="G939" s="244">
        <v>11.97434</v>
      </c>
      <c r="L939" s="15"/>
    </row>
    <row r="940" spans="1:12" ht="29.25" customHeight="1" x14ac:dyDescent="0.25">
      <c r="A940" s="308" t="s">
        <v>785</v>
      </c>
      <c r="B940" s="257" t="s">
        <v>1281</v>
      </c>
      <c r="C940" s="372">
        <v>2024</v>
      </c>
      <c r="D940" s="249">
        <v>0.4</v>
      </c>
      <c r="E940" s="300">
        <v>1</v>
      </c>
      <c r="F940" s="301">
        <v>15</v>
      </c>
      <c r="G940" s="244">
        <v>31.396509999999999</v>
      </c>
      <c r="L940" s="15"/>
    </row>
    <row r="941" spans="1:12" ht="29.25" customHeight="1" x14ac:dyDescent="0.25">
      <c r="A941" s="308" t="s">
        <v>785</v>
      </c>
      <c r="B941" s="257" t="s">
        <v>1282</v>
      </c>
      <c r="C941" s="372">
        <v>2024</v>
      </c>
      <c r="D941" s="249">
        <v>0.4</v>
      </c>
      <c r="E941" s="300">
        <v>1</v>
      </c>
      <c r="F941" s="301">
        <v>15</v>
      </c>
      <c r="G941" s="244">
        <v>24.258710000000001</v>
      </c>
      <c r="L941" s="15"/>
    </row>
    <row r="942" spans="1:12" ht="29.25" customHeight="1" x14ac:dyDescent="0.25">
      <c r="A942" s="308" t="s">
        <v>784</v>
      </c>
      <c r="B942" s="257" t="s">
        <v>1283</v>
      </c>
      <c r="C942" s="372">
        <v>2024</v>
      </c>
      <c r="D942" s="249">
        <v>0.4</v>
      </c>
      <c r="E942" s="300">
        <v>1</v>
      </c>
      <c r="F942" s="301">
        <v>5</v>
      </c>
      <c r="G942" s="244">
        <v>24.374689999999998</v>
      </c>
      <c r="L942" s="15"/>
    </row>
    <row r="943" spans="1:12" ht="29.25" customHeight="1" x14ac:dyDescent="0.25">
      <c r="A943" s="308" t="s">
        <v>785</v>
      </c>
      <c r="B943" s="257" t="s">
        <v>1393</v>
      </c>
      <c r="C943" s="372">
        <v>2024</v>
      </c>
      <c r="D943" s="249">
        <v>0.4</v>
      </c>
      <c r="E943" s="300">
        <v>1</v>
      </c>
      <c r="F943" s="301">
        <v>15</v>
      </c>
      <c r="G943" s="244">
        <v>34.784779999999998</v>
      </c>
      <c r="L943" s="15"/>
    </row>
    <row r="944" spans="1:12" ht="29.25" customHeight="1" x14ac:dyDescent="0.25">
      <c r="A944" s="224" t="s">
        <v>784</v>
      </c>
      <c r="B944" s="257" t="s">
        <v>1284</v>
      </c>
      <c r="C944" s="372">
        <v>2024</v>
      </c>
      <c r="D944" s="249">
        <v>0.4</v>
      </c>
      <c r="E944" s="300">
        <v>1</v>
      </c>
      <c r="F944" s="301">
        <v>7</v>
      </c>
      <c r="G944" s="244">
        <v>24.338470000000001</v>
      </c>
      <c r="L944" s="15"/>
    </row>
    <row r="945" spans="1:12" ht="29.25" customHeight="1" x14ac:dyDescent="0.25">
      <c r="A945" s="308" t="s">
        <v>784</v>
      </c>
      <c r="B945" s="257" t="s">
        <v>1394</v>
      </c>
      <c r="C945" s="372">
        <v>2024</v>
      </c>
      <c r="D945" s="249">
        <v>0.4</v>
      </c>
      <c r="E945" s="300">
        <v>1</v>
      </c>
      <c r="F945" s="301">
        <v>3</v>
      </c>
      <c r="G945" s="244">
        <v>6.6766099999999993</v>
      </c>
      <c r="L945" s="15"/>
    </row>
    <row r="946" spans="1:12" ht="29.25" customHeight="1" x14ac:dyDescent="0.25">
      <c r="A946" s="224" t="s">
        <v>784</v>
      </c>
      <c r="B946" s="257" t="s">
        <v>1285</v>
      </c>
      <c r="C946" s="372">
        <v>2024</v>
      </c>
      <c r="D946" s="249">
        <v>0.4</v>
      </c>
      <c r="E946" s="300">
        <v>1</v>
      </c>
      <c r="F946" s="301">
        <v>10</v>
      </c>
      <c r="G946" s="244">
        <v>24.338470000000001</v>
      </c>
      <c r="L946" s="15"/>
    </row>
    <row r="947" spans="1:12" ht="29.25" customHeight="1" x14ac:dyDescent="0.25">
      <c r="A947" s="308" t="s">
        <v>785</v>
      </c>
      <c r="B947" s="257" t="s">
        <v>1286</v>
      </c>
      <c r="C947" s="372">
        <v>2024</v>
      </c>
      <c r="D947" s="249">
        <v>0.4</v>
      </c>
      <c r="E947" s="300">
        <v>1</v>
      </c>
      <c r="F947" s="301">
        <v>15</v>
      </c>
      <c r="G947" s="244">
        <v>27.259439999999998</v>
      </c>
      <c r="L947" s="15"/>
    </row>
    <row r="948" spans="1:12" ht="29.25" customHeight="1" x14ac:dyDescent="0.25">
      <c r="A948" s="308" t="s">
        <v>785</v>
      </c>
      <c r="B948" s="257" t="s">
        <v>1287</v>
      </c>
      <c r="C948" s="372">
        <v>2024</v>
      </c>
      <c r="D948" s="249">
        <v>0.4</v>
      </c>
      <c r="E948" s="300">
        <v>1</v>
      </c>
      <c r="F948" s="301">
        <v>15</v>
      </c>
      <c r="G948" s="244">
        <v>27.61964</v>
      </c>
      <c r="L948" s="15"/>
    </row>
    <row r="949" spans="1:12" ht="29.25" customHeight="1" x14ac:dyDescent="0.25">
      <c r="A949" s="308" t="s">
        <v>785</v>
      </c>
      <c r="B949" s="257" t="s">
        <v>1288</v>
      </c>
      <c r="C949" s="372">
        <v>2024</v>
      </c>
      <c r="D949" s="249">
        <v>0.4</v>
      </c>
      <c r="E949" s="300">
        <v>1</v>
      </c>
      <c r="F949" s="301">
        <v>15</v>
      </c>
      <c r="G949" s="244">
        <v>27.259419999999999</v>
      </c>
      <c r="L949" s="15"/>
    </row>
    <row r="950" spans="1:12" ht="29.25" customHeight="1" x14ac:dyDescent="0.25">
      <c r="A950" s="224" t="s">
        <v>784</v>
      </c>
      <c r="B950" s="257" t="s">
        <v>1289</v>
      </c>
      <c r="C950" s="372">
        <v>2024</v>
      </c>
      <c r="D950" s="249">
        <v>0.4</v>
      </c>
      <c r="E950" s="300">
        <v>1</v>
      </c>
      <c r="F950" s="301">
        <v>10</v>
      </c>
      <c r="G950" s="244">
        <v>19.090669999999999</v>
      </c>
      <c r="L950" s="15"/>
    </row>
    <row r="951" spans="1:12" ht="29.25" customHeight="1" x14ac:dyDescent="0.25">
      <c r="A951" s="308" t="s">
        <v>784</v>
      </c>
      <c r="B951" s="257" t="s">
        <v>1290</v>
      </c>
      <c r="C951" s="372">
        <v>2024</v>
      </c>
      <c r="D951" s="249">
        <v>0.4</v>
      </c>
      <c r="E951" s="300">
        <v>1</v>
      </c>
      <c r="F951" s="301">
        <v>5</v>
      </c>
      <c r="G951" s="244">
        <v>18.514830000000003</v>
      </c>
      <c r="L951" s="15"/>
    </row>
    <row r="952" spans="1:12" ht="29.25" customHeight="1" x14ac:dyDescent="0.25">
      <c r="A952" s="308" t="s">
        <v>785</v>
      </c>
      <c r="B952" s="257" t="s">
        <v>1291</v>
      </c>
      <c r="C952" s="372">
        <v>2024</v>
      </c>
      <c r="D952" s="249">
        <v>0.4</v>
      </c>
      <c r="E952" s="300">
        <v>1</v>
      </c>
      <c r="F952" s="301">
        <v>15</v>
      </c>
      <c r="G952" s="244">
        <v>27.295490000000001</v>
      </c>
      <c r="L952" s="15"/>
    </row>
    <row r="953" spans="1:12" ht="29.25" customHeight="1" x14ac:dyDescent="0.25">
      <c r="A953" s="308" t="s">
        <v>785</v>
      </c>
      <c r="B953" s="257" t="s">
        <v>1292</v>
      </c>
      <c r="C953" s="372">
        <v>2024</v>
      </c>
      <c r="D953" s="249">
        <v>0.4</v>
      </c>
      <c r="E953" s="300">
        <v>1</v>
      </c>
      <c r="F953" s="301">
        <v>15</v>
      </c>
      <c r="G953" s="244">
        <v>24.25872</v>
      </c>
      <c r="L953" s="15"/>
    </row>
    <row r="954" spans="1:12" ht="29.25" customHeight="1" x14ac:dyDescent="0.25">
      <c r="A954" s="308" t="s">
        <v>785</v>
      </c>
      <c r="B954" s="257" t="s">
        <v>1293</v>
      </c>
      <c r="C954" s="372">
        <v>2024</v>
      </c>
      <c r="D954" s="249">
        <v>0.4</v>
      </c>
      <c r="E954" s="300">
        <v>1</v>
      </c>
      <c r="F954" s="301">
        <v>15</v>
      </c>
      <c r="G954" s="244">
        <v>27.295490000000001</v>
      </c>
      <c r="L954" s="15"/>
    </row>
    <row r="955" spans="1:12" ht="29.25" customHeight="1" x14ac:dyDescent="0.25">
      <c r="A955" s="308" t="s">
        <v>784</v>
      </c>
      <c r="B955" s="257" t="s">
        <v>1294</v>
      </c>
      <c r="C955" s="372">
        <v>2024</v>
      </c>
      <c r="D955" s="249">
        <v>0.4</v>
      </c>
      <c r="E955" s="300">
        <v>1</v>
      </c>
      <c r="F955" s="301">
        <v>5</v>
      </c>
      <c r="G955" s="244">
        <v>24.338470000000001</v>
      </c>
      <c r="L955" s="15"/>
    </row>
    <row r="956" spans="1:12" ht="29.25" customHeight="1" x14ac:dyDescent="0.25">
      <c r="A956" s="308" t="s">
        <v>785</v>
      </c>
      <c r="B956" s="257" t="s">
        <v>1295</v>
      </c>
      <c r="C956" s="372">
        <v>2024</v>
      </c>
      <c r="D956" s="249">
        <v>0.4</v>
      </c>
      <c r="E956" s="300">
        <v>1</v>
      </c>
      <c r="F956" s="301">
        <v>15</v>
      </c>
      <c r="G956" s="244">
        <v>24.344380000000001</v>
      </c>
      <c r="L956" s="15"/>
    </row>
    <row r="957" spans="1:12" ht="29.25" customHeight="1" x14ac:dyDescent="0.25">
      <c r="A957" s="308" t="s">
        <v>785</v>
      </c>
      <c r="B957" s="257" t="s">
        <v>1296</v>
      </c>
      <c r="C957" s="372">
        <v>2024</v>
      </c>
      <c r="D957" s="249">
        <v>0.4</v>
      </c>
      <c r="E957" s="300">
        <v>1</v>
      </c>
      <c r="F957" s="301">
        <v>14</v>
      </c>
      <c r="G957" s="244">
        <v>27.16394</v>
      </c>
      <c r="L957" s="15"/>
    </row>
    <row r="958" spans="1:12" ht="29.25" customHeight="1" x14ac:dyDescent="0.25">
      <c r="A958" s="308" t="s">
        <v>785</v>
      </c>
      <c r="B958" s="257" t="s">
        <v>1297</v>
      </c>
      <c r="C958" s="372">
        <v>2024</v>
      </c>
      <c r="D958" s="249">
        <v>0.4</v>
      </c>
      <c r="E958" s="300">
        <v>1</v>
      </c>
      <c r="F958" s="301">
        <v>15</v>
      </c>
      <c r="G958" s="244">
        <v>24.258710000000001</v>
      </c>
      <c r="L958" s="15"/>
    </row>
    <row r="959" spans="1:12" ht="29.25" customHeight="1" x14ac:dyDescent="0.25">
      <c r="A959" s="308" t="s">
        <v>785</v>
      </c>
      <c r="B959" s="257" t="s">
        <v>1298</v>
      </c>
      <c r="C959" s="372">
        <v>2024</v>
      </c>
      <c r="D959" s="249">
        <v>0.4</v>
      </c>
      <c r="E959" s="300">
        <v>1</v>
      </c>
      <c r="F959" s="301">
        <v>15</v>
      </c>
      <c r="G959" s="244">
        <v>24.383900000000001</v>
      </c>
      <c r="L959" s="15"/>
    </row>
    <row r="960" spans="1:12" ht="29.25" customHeight="1" x14ac:dyDescent="0.25">
      <c r="A960" s="224" t="s">
        <v>786</v>
      </c>
      <c r="B960" s="257" t="s">
        <v>1299</v>
      </c>
      <c r="C960" s="372">
        <v>2024</v>
      </c>
      <c r="D960" s="249">
        <v>0.4</v>
      </c>
      <c r="E960" s="300">
        <v>2</v>
      </c>
      <c r="F960" s="301">
        <v>400</v>
      </c>
      <c r="G960" s="244">
        <v>111.934</v>
      </c>
      <c r="L960" s="15"/>
    </row>
    <row r="961" spans="1:12" ht="29.25" customHeight="1" x14ac:dyDescent="0.25">
      <c r="A961" s="224" t="s">
        <v>785</v>
      </c>
      <c r="B961" s="257" t="s">
        <v>1300</v>
      </c>
      <c r="C961" s="372">
        <v>2024</v>
      </c>
      <c r="D961" s="249">
        <v>0.4</v>
      </c>
      <c r="E961" s="300">
        <v>1</v>
      </c>
      <c r="F961" s="301">
        <v>10</v>
      </c>
      <c r="G961" s="244">
        <v>24.139410000000002</v>
      </c>
      <c r="L961" s="15"/>
    </row>
    <row r="962" spans="1:12" ht="29.25" customHeight="1" x14ac:dyDescent="0.25">
      <c r="A962" s="308" t="s">
        <v>785</v>
      </c>
      <c r="B962" s="257" t="s">
        <v>1301</v>
      </c>
      <c r="C962" s="372">
        <v>2024</v>
      </c>
      <c r="D962" s="249">
        <v>0.4</v>
      </c>
      <c r="E962" s="300">
        <v>1</v>
      </c>
      <c r="F962" s="301">
        <v>15</v>
      </c>
      <c r="G962" s="244">
        <v>37.267580000000002</v>
      </c>
      <c r="L962" s="15"/>
    </row>
    <row r="963" spans="1:12" ht="29.25" customHeight="1" x14ac:dyDescent="0.25">
      <c r="A963" s="308" t="s">
        <v>784</v>
      </c>
      <c r="B963" s="257" t="s">
        <v>1302</v>
      </c>
      <c r="C963" s="372">
        <v>2024</v>
      </c>
      <c r="D963" s="249">
        <v>0.4</v>
      </c>
      <c r="E963" s="300">
        <v>1</v>
      </c>
      <c r="F963" s="301">
        <v>5</v>
      </c>
      <c r="G963" s="244">
        <v>24.55125</v>
      </c>
      <c r="L963" s="15"/>
    </row>
    <row r="964" spans="1:12" ht="29.25" customHeight="1" x14ac:dyDescent="0.25">
      <c r="A964" s="224" t="s">
        <v>786</v>
      </c>
      <c r="B964" s="257" t="s">
        <v>1303</v>
      </c>
      <c r="C964" s="372">
        <v>2024</v>
      </c>
      <c r="D964" s="249">
        <v>0.4</v>
      </c>
      <c r="E964" s="300">
        <v>2</v>
      </c>
      <c r="F964" s="301">
        <v>530</v>
      </c>
      <c r="G964" s="244">
        <v>99.049660000000003</v>
      </c>
      <c r="L964" s="15"/>
    </row>
    <row r="965" spans="1:12" ht="29.25" customHeight="1" x14ac:dyDescent="0.25">
      <c r="A965" s="308" t="s">
        <v>785</v>
      </c>
      <c r="B965" s="257" t="s">
        <v>1304</v>
      </c>
      <c r="C965" s="372">
        <v>2024</v>
      </c>
      <c r="D965" s="249">
        <v>0.4</v>
      </c>
      <c r="E965" s="300">
        <v>1</v>
      </c>
      <c r="F965" s="301">
        <v>15</v>
      </c>
      <c r="G965" s="244">
        <v>27.259430000000002</v>
      </c>
      <c r="L965" s="15"/>
    </row>
    <row r="966" spans="1:12" ht="29.25" customHeight="1" x14ac:dyDescent="0.25">
      <c r="A966" s="308" t="s">
        <v>785</v>
      </c>
      <c r="B966" s="257" t="s">
        <v>1305</v>
      </c>
      <c r="C966" s="372">
        <v>2024</v>
      </c>
      <c r="D966" s="249">
        <v>0.4</v>
      </c>
      <c r="E966" s="300">
        <v>1</v>
      </c>
      <c r="F966" s="301">
        <v>15</v>
      </c>
      <c r="G966" s="244">
        <v>24.114900000000002</v>
      </c>
      <c r="L966" s="15"/>
    </row>
    <row r="967" spans="1:12" ht="29.25" customHeight="1" x14ac:dyDescent="0.25">
      <c r="A967" s="308" t="s">
        <v>784</v>
      </c>
      <c r="B967" s="257" t="s">
        <v>1306</v>
      </c>
      <c r="C967" s="372">
        <v>2024</v>
      </c>
      <c r="D967" s="249">
        <v>0.4</v>
      </c>
      <c r="E967" s="300">
        <v>1</v>
      </c>
      <c r="F967" s="301">
        <v>4</v>
      </c>
      <c r="G967" s="244">
        <v>21.0626</v>
      </c>
      <c r="L967" s="15"/>
    </row>
    <row r="968" spans="1:12" ht="29.25" customHeight="1" x14ac:dyDescent="0.25">
      <c r="A968" s="308" t="s">
        <v>785</v>
      </c>
      <c r="B968" s="257" t="s">
        <v>1307</v>
      </c>
      <c r="C968" s="372">
        <v>2024</v>
      </c>
      <c r="D968" s="249">
        <v>0.4</v>
      </c>
      <c r="E968" s="300">
        <v>1</v>
      </c>
      <c r="F968" s="301">
        <v>15</v>
      </c>
      <c r="G968" s="244">
        <v>27.61964</v>
      </c>
      <c r="L968" s="15"/>
    </row>
    <row r="969" spans="1:12" ht="29.25" customHeight="1" x14ac:dyDescent="0.25">
      <c r="A969" s="308" t="s">
        <v>784</v>
      </c>
      <c r="B969" s="257" t="s">
        <v>1308</v>
      </c>
      <c r="C969" s="372">
        <v>2024</v>
      </c>
      <c r="D969" s="249">
        <v>0.4</v>
      </c>
      <c r="E969" s="300">
        <v>1</v>
      </c>
      <c r="F969" s="301">
        <v>3</v>
      </c>
      <c r="G969" s="244">
        <v>24.253979999999999</v>
      </c>
      <c r="L969" s="15"/>
    </row>
    <row r="970" spans="1:12" ht="29.25" customHeight="1" x14ac:dyDescent="0.25">
      <c r="A970" s="308" t="s">
        <v>784</v>
      </c>
      <c r="B970" s="257" t="s">
        <v>1309</v>
      </c>
      <c r="C970" s="372">
        <v>2024</v>
      </c>
      <c r="D970" s="249">
        <v>0.4</v>
      </c>
      <c r="E970" s="300">
        <v>1</v>
      </c>
      <c r="F970" s="301">
        <v>3</v>
      </c>
      <c r="G970" s="244">
        <v>24.328700000000001</v>
      </c>
      <c r="L970" s="15"/>
    </row>
    <row r="971" spans="1:12" ht="29.25" customHeight="1" x14ac:dyDescent="0.25">
      <c r="A971" s="308" t="s">
        <v>785</v>
      </c>
      <c r="B971" s="257" t="s">
        <v>1310</v>
      </c>
      <c r="C971" s="372">
        <v>2024</v>
      </c>
      <c r="D971" s="249">
        <v>0.4</v>
      </c>
      <c r="E971" s="300">
        <v>1</v>
      </c>
      <c r="F971" s="301">
        <v>15</v>
      </c>
      <c r="G971" s="244">
        <v>27.259430000000002</v>
      </c>
      <c r="L971" s="15"/>
    </row>
    <row r="972" spans="1:12" ht="29.25" customHeight="1" x14ac:dyDescent="0.25">
      <c r="A972" s="224" t="s">
        <v>784</v>
      </c>
      <c r="B972" s="257" t="s">
        <v>1311</v>
      </c>
      <c r="C972" s="372">
        <v>2024</v>
      </c>
      <c r="D972" s="249">
        <v>0.4</v>
      </c>
      <c r="E972" s="300">
        <v>1</v>
      </c>
      <c r="F972" s="301">
        <v>8</v>
      </c>
      <c r="G972" s="244">
        <v>24.253970000000002</v>
      </c>
      <c r="L972" s="15"/>
    </row>
    <row r="973" spans="1:12" ht="29.25" customHeight="1" x14ac:dyDescent="0.25">
      <c r="A973" s="308" t="s">
        <v>784</v>
      </c>
      <c r="B973" s="257" t="s">
        <v>1312</v>
      </c>
      <c r="C973" s="372">
        <v>2024</v>
      </c>
      <c r="D973" s="249">
        <v>0.4</v>
      </c>
      <c r="E973" s="300">
        <v>1</v>
      </c>
      <c r="F973" s="301">
        <v>5</v>
      </c>
      <c r="G973" s="244">
        <v>18.572419999999997</v>
      </c>
      <c r="L973" s="15"/>
    </row>
    <row r="974" spans="1:12" ht="29.25" customHeight="1" x14ac:dyDescent="0.25">
      <c r="A974" s="308" t="s">
        <v>785</v>
      </c>
      <c r="B974" s="257" t="s">
        <v>1313</v>
      </c>
      <c r="C974" s="372">
        <v>2024</v>
      </c>
      <c r="D974" s="249">
        <v>0.4</v>
      </c>
      <c r="E974" s="300">
        <v>1</v>
      </c>
      <c r="F974" s="301">
        <v>15</v>
      </c>
      <c r="G974" s="244">
        <v>26.848279999999999</v>
      </c>
      <c r="L974" s="15"/>
    </row>
    <row r="975" spans="1:12" ht="29.25" customHeight="1" x14ac:dyDescent="0.25">
      <c r="A975" s="308" t="s">
        <v>785</v>
      </c>
      <c r="B975" s="257" t="s">
        <v>1314</v>
      </c>
      <c r="C975" s="372">
        <v>2024</v>
      </c>
      <c r="D975" s="249">
        <v>0.4</v>
      </c>
      <c r="E975" s="300">
        <v>1</v>
      </c>
      <c r="F975" s="301">
        <v>15</v>
      </c>
      <c r="G975" s="244">
        <v>24.579319999999999</v>
      </c>
      <c r="L975" s="15"/>
    </row>
    <row r="976" spans="1:12" ht="29.25" customHeight="1" x14ac:dyDescent="0.25">
      <c r="A976" s="308" t="s">
        <v>785</v>
      </c>
      <c r="B976" s="257" t="s">
        <v>1315</v>
      </c>
      <c r="C976" s="372">
        <v>2024</v>
      </c>
      <c r="D976" s="249">
        <v>0.4</v>
      </c>
      <c r="E976" s="300">
        <v>1</v>
      </c>
      <c r="F976" s="301">
        <v>15</v>
      </c>
      <c r="G976" s="244">
        <v>24.033270000000002</v>
      </c>
      <c r="L976" s="15"/>
    </row>
    <row r="977" spans="1:12" ht="29.25" customHeight="1" x14ac:dyDescent="0.25">
      <c r="A977" s="224" t="s">
        <v>784</v>
      </c>
      <c r="B977" s="257" t="s">
        <v>1385</v>
      </c>
      <c r="C977" s="372">
        <v>2024</v>
      </c>
      <c r="D977" s="249">
        <v>0.4</v>
      </c>
      <c r="E977" s="300">
        <v>1</v>
      </c>
      <c r="F977" s="301">
        <v>10</v>
      </c>
      <c r="G977" s="244">
        <v>24.253990000000002</v>
      </c>
      <c r="L977" s="15"/>
    </row>
    <row r="978" spans="1:12" ht="29.25" customHeight="1" x14ac:dyDescent="0.25">
      <c r="A978" s="224" t="s">
        <v>785</v>
      </c>
      <c r="B978" s="257" t="s">
        <v>1316</v>
      </c>
      <c r="C978" s="372">
        <v>2024</v>
      </c>
      <c r="D978" s="249">
        <v>0.4</v>
      </c>
      <c r="E978" s="300">
        <v>1</v>
      </c>
      <c r="F978" s="301">
        <v>3</v>
      </c>
      <c r="G978" s="244">
        <v>29.27786</v>
      </c>
      <c r="L978" s="15"/>
    </row>
    <row r="979" spans="1:12" ht="29.25" customHeight="1" x14ac:dyDescent="0.25">
      <c r="A979" s="308" t="s">
        <v>784</v>
      </c>
      <c r="B979" s="257" t="s">
        <v>1317</v>
      </c>
      <c r="C979" s="372">
        <v>2024</v>
      </c>
      <c r="D979" s="249">
        <v>0.4</v>
      </c>
      <c r="E979" s="300">
        <v>1</v>
      </c>
      <c r="F979" s="301">
        <v>5</v>
      </c>
      <c r="G979" s="244">
        <v>21.137319999999999</v>
      </c>
      <c r="L979" s="15"/>
    </row>
    <row r="980" spans="1:12" ht="29.25" customHeight="1" x14ac:dyDescent="0.25">
      <c r="A980" s="308" t="s">
        <v>784</v>
      </c>
      <c r="B980" s="257" t="s">
        <v>1318</v>
      </c>
      <c r="C980" s="372">
        <v>2024</v>
      </c>
      <c r="D980" s="249">
        <v>0.4</v>
      </c>
      <c r="E980" s="300">
        <v>1</v>
      </c>
      <c r="F980" s="301">
        <v>5</v>
      </c>
      <c r="G980" s="244">
        <v>24.295000000000002</v>
      </c>
      <c r="L980" s="15"/>
    </row>
    <row r="981" spans="1:12" ht="29.25" customHeight="1" x14ac:dyDescent="0.25">
      <c r="A981" s="308" t="s">
        <v>785</v>
      </c>
      <c r="B981" s="257" t="s">
        <v>1319</v>
      </c>
      <c r="C981" s="372">
        <v>2024</v>
      </c>
      <c r="D981" s="249">
        <v>0.4</v>
      </c>
      <c r="E981" s="300">
        <v>1</v>
      </c>
      <c r="F981" s="301">
        <v>15</v>
      </c>
      <c r="G981" s="244">
        <v>24.033259999999999</v>
      </c>
      <c r="L981" s="15"/>
    </row>
    <row r="982" spans="1:12" ht="29.25" customHeight="1" x14ac:dyDescent="0.25">
      <c r="A982" s="308" t="s">
        <v>784</v>
      </c>
      <c r="B982" s="257" t="s">
        <v>1320</v>
      </c>
      <c r="C982" s="372">
        <v>2024</v>
      </c>
      <c r="D982" s="249">
        <v>0.4</v>
      </c>
      <c r="E982" s="300">
        <v>1</v>
      </c>
      <c r="F982" s="301">
        <v>5</v>
      </c>
      <c r="G982" s="244">
        <v>21.062580000000001</v>
      </c>
      <c r="L982" s="15"/>
    </row>
    <row r="983" spans="1:12" ht="29.25" customHeight="1" x14ac:dyDescent="0.25">
      <c r="A983" s="308" t="s">
        <v>784</v>
      </c>
      <c r="B983" s="257" t="s">
        <v>1321</v>
      </c>
      <c r="C983" s="372">
        <v>2024</v>
      </c>
      <c r="D983" s="249">
        <v>0.4</v>
      </c>
      <c r="E983" s="300">
        <v>1</v>
      </c>
      <c r="F983" s="301">
        <v>5</v>
      </c>
      <c r="G983" s="244">
        <v>21.06259</v>
      </c>
      <c r="L983" s="15"/>
    </row>
    <row r="984" spans="1:12" ht="29.25" customHeight="1" x14ac:dyDescent="0.25">
      <c r="A984" s="308" t="s">
        <v>784</v>
      </c>
      <c r="B984" s="257" t="s">
        <v>1322</v>
      </c>
      <c r="C984" s="372">
        <v>2024</v>
      </c>
      <c r="D984" s="249">
        <v>0.4</v>
      </c>
      <c r="E984" s="300">
        <v>1</v>
      </c>
      <c r="F984" s="301">
        <v>5</v>
      </c>
      <c r="G984" s="244">
        <v>21.062580000000001</v>
      </c>
      <c r="L984" s="15"/>
    </row>
    <row r="985" spans="1:12" ht="29.25" customHeight="1" x14ac:dyDescent="0.25">
      <c r="A985" s="308" t="s">
        <v>785</v>
      </c>
      <c r="B985" s="257" t="s">
        <v>1323</v>
      </c>
      <c r="C985" s="372">
        <v>2024</v>
      </c>
      <c r="D985" s="249">
        <v>0.4</v>
      </c>
      <c r="E985" s="300">
        <v>1</v>
      </c>
      <c r="F985" s="301">
        <v>15</v>
      </c>
      <c r="G985" s="244">
        <v>27.259430000000002</v>
      </c>
      <c r="L985" s="15"/>
    </row>
    <row r="986" spans="1:12" ht="29.25" customHeight="1" x14ac:dyDescent="0.25">
      <c r="A986" s="308" t="s">
        <v>784</v>
      </c>
      <c r="B986" s="257" t="s">
        <v>1324</v>
      </c>
      <c r="C986" s="372">
        <v>2024</v>
      </c>
      <c r="D986" s="249">
        <v>0.4</v>
      </c>
      <c r="E986" s="300">
        <v>1</v>
      </c>
      <c r="F986" s="301">
        <v>5</v>
      </c>
      <c r="G986" s="244">
        <v>21.053060000000002</v>
      </c>
      <c r="L986" s="15"/>
    </row>
    <row r="987" spans="1:12" ht="29.25" customHeight="1" x14ac:dyDescent="0.25">
      <c r="A987" s="308" t="s">
        <v>784</v>
      </c>
      <c r="B987" s="257" t="s">
        <v>1325</v>
      </c>
      <c r="C987" s="372">
        <v>2024</v>
      </c>
      <c r="D987" s="249">
        <v>0.4</v>
      </c>
      <c r="E987" s="300">
        <v>1</v>
      </c>
      <c r="F987" s="301">
        <v>5</v>
      </c>
      <c r="G987" s="244">
        <v>21.0626</v>
      </c>
      <c r="L987" s="15"/>
    </row>
    <row r="988" spans="1:12" ht="29.25" customHeight="1" x14ac:dyDescent="0.25">
      <c r="A988" s="308" t="s">
        <v>784</v>
      </c>
      <c r="B988" s="257" t="s">
        <v>1326</v>
      </c>
      <c r="C988" s="372">
        <v>2024</v>
      </c>
      <c r="D988" s="249">
        <v>0.4</v>
      </c>
      <c r="E988" s="300">
        <v>1</v>
      </c>
      <c r="F988" s="301">
        <v>5</v>
      </c>
      <c r="G988" s="244">
        <v>23.77364</v>
      </c>
      <c r="L988" s="15"/>
    </row>
    <row r="989" spans="1:12" ht="29.25" customHeight="1" x14ac:dyDescent="0.25">
      <c r="A989" s="308" t="s">
        <v>785</v>
      </c>
      <c r="B989" s="257" t="s">
        <v>1327</v>
      </c>
      <c r="C989" s="372">
        <v>2024</v>
      </c>
      <c r="D989" s="249">
        <v>0.4</v>
      </c>
      <c r="E989" s="300">
        <v>1</v>
      </c>
      <c r="F989" s="301">
        <v>15</v>
      </c>
      <c r="G989" s="244">
        <v>31.99099</v>
      </c>
      <c r="L989" s="15"/>
    </row>
    <row r="990" spans="1:12" ht="29.25" customHeight="1" x14ac:dyDescent="0.25">
      <c r="A990" s="264" t="s">
        <v>785</v>
      </c>
      <c r="B990" s="257" t="s">
        <v>1386</v>
      </c>
      <c r="C990" s="372">
        <v>2024</v>
      </c>
      <c r="D990" s="249">
        <v>0.4</v>
      </c>
      <c r="E990" s="300">
        <v>1</v>
      </c>
      <c r="F990" s="301">
        <v>25</v>
      </c>
      <c r="G990" s="244">
        <v>25.766659999999998</v>
      </c>
      <c r="L990" s="15"/>
    </row>
    <row r="991" spans="1:12" ht="29.25" customHeight="1" x14ac:dyDescent="0.25">
      <c r="A991" s="264" t="s">
        <v>785</v>
      </c>
      <c r="B991" s="257" t="s">
        <v>1328</v>
      </c>
      <c r="C991" s="372">
        <v>2024</v>
      </c>
      <c r="D991" s="249">
        <v>0.4</v>
      </c>
      <c r="E991" s="300">
        <v>1</v>
      </c>
      <c r="F991" s="301">
        <v>25</v>
      </c>
      <c r="G991" s="244">
        <v>28.849740000000001</v>
      </c>
      <c r="L991" s="15"/>
    </row>
    <row r="992" spans="1:12" ht="29.25" customHeight="1" x14ac:dyDescent="0.25">
      <c r="A992" s="308" t="s">
        <v>784</v>
      </c>
      <c r="B992" s="257" t="s">
        <v>1329</v>
      </c>
      <c r="C992" s="372">
        <v>2024</v>
      </c>
      <c r="D992" s="249">
        <v>0.4</v>
      </c>
      <c r="E992" s="300">
        <v>1</v>
      </c>
      <c r="F992" s="301">
        <v>5</v>
      </c>
      <c r="G992" s="244">
        <v>23.773630000000001</v>
      </c>
      <c r="L992" s="15"/>
    </row>
    <row r="993" spans="1:12" ht="29.25" customHeight="1" x14ac:dyDescent="0.25">
      <c r="A993" s="308" t="s">
        <v>784</v>
      </c>
      <c r="B993" s="257" t="s">
        <v>1330</v>
      </c>
      <c r="C993" s="372">
        <v>2024</v>
      </c>
      <c r="D993" s="249">
        <v>0.4</v>
      </c>
      <c r="E993" s="300">
        <v>1</v>
      </c>
      <c r="F993" s="301">
        <v>5</v>
      </c>
      <c r="G993" s="244">
        <v>23.773630000000001</v>
      </c>
      <c r="L993" s="15"/>
    </row>
    <row r="994" spans="1:12" ht="29.25" customHeight="1" x14ac:dyDescent="0.25">
      <c r="A994" s="308" t="s">
        <v>784</v>
      </c>
      <c r="B994" s="257" t="s">
        <v>1331</v>
      </c>
      <c r="C994" s="372">
        <v>2024</v>
      </c>
      <c r="D994" s="249">
        <v>0.4</v>
      </c>
      <c r="E994" s="300">
        <v>1</v>
      </c>
      <c r="F994" s="301">
        <v>5</v>
      </c>
      <c r="G994" s="244">
        <v>23.77364</v>
      </c>
      <c r="L994" s="15"/>
    </row>
    <row r="995" spans="1:12" ht="29.25" customHeight="1" x14ac:dyDescent="0.25">
      <c r="A995" s="308" t="s">
        <v>785</v>
      </c>
      <c r="B995" s="257" t="s">
        <v>1332</v>
      </c>
      <c r="C995" s="372">
        <v>2024</v>
      </c>
      <c r="D995" s="249">
        <v>0.4</v>
      </c>
      <c r="E995" s="300">
        <v>1</v>
      </c>
      <c r="F995" s="301">
        <v>15</v>
      </c>
      <c r="G995" s="244">
        <v>27.110009999999999</v>
      </c>
      <c r="L995" s="15"/>
    </row>
    <row r="996" spans="1:12" ht="29.25" customHeight="1" x14ac:dyDescent="0.25">
      <c r="A996" s="308" t="s">
        <v>784</v>
      </c>
      <c r="B996" s="257" t="s">
        <v>1333</v>
      </c>
      <c r="C996" s="372">
        <v>2024</v>
      </c>
      <c r="D996" s="249">
        <v>0.4</v>
      </c>
      <c r="E996" s="300">
        <v>1</v>
      </c>
      <c r="F996" s="301">
        <v>5</v>
      </c>
      <c r="G996" s="244">
        <v>21.137310000000003</v>
      </c>
      <c r="L996" s="15"/>
    </row>
    <row r="997" spans="1:12" ht="29.25" customHeight="1" x14ac:dyDescent="0.25">
      <c r="A997" s="308" t="s">
        <v>784</v>
      </c>
      <c r="B997" s="257" t="s">
        <v>1334</v>
      </c>
      <c r="C997" s="372">
        <v>2024</v>
      </c>
      <c r="D997" s="249">
        <v>0.4</v>
      </c>
      <c r="E997" s="300">
        <v>1</v>
      </c>
      <c r="F997" s="301">
        <v>5</v>
      </c>
      <c r="G997" s="244">
        <v>21.137310000000003</v>
      </c>
      <c r="L997" s="15"/>
    </row>
    <row r="998" spans="1:12" ht="29.25" customHeight="1" x14ac:dyDescent="0.25">
      <c r="A998" s="224" t="s">
        <v>785</v>
      </c>
      <c r="B998" s="257" t="s">
        <v>1335</v>
      </c>
      <c r="C998" s="372">
        <v>2024</v>
      </c>
      <c r="D998" s="249">
        <v>0.4</v>
      </c>
      <c r="E998" s="300">
        <v>1</v>
      </c>
      <c r="F998" s="301">
        <v>10</v>
      </c>
      <c r="G998" s="244">
        <v>38.204720000000002</v>
      </c>
      <c r="L998" s="15"/>
    </row>
    <row r="999" spans="1:12" ht="29.25" customHeight="1" x14ac:dyDescent="0.25">
      <c r="A999" s="308" t="s">
        <v>784</v>
      </c>
      <c r="B999" s="257" t="s">
        <v>1336</v>
      </c>
      <c r="C999" s="372">
        <v>2024</v>
      </c>
      <c r="D999" s="249">
        <v>0.4</v>
      </c>
      <c r="E999" s="300">
        <v>1</v>
      </c>
      <c r="F999" s="301">
        <v>5</v>
      </c>
      <c r="G999" s="244">
        <v>21.062609999999999</v>
      </c>
      <c r="L999" s="15"/>
    </row>
    <row r="1000" spans="1:12" ht="29.25" customHeight="1" x14ac:dyDescent="0.25">
      <c r="A1000" s="308" t="s">
        <v>784</v>
      </c>
      <c r="B1000" s="257" t="s">
        <v>1337</v>
      </c>
      <c r="C1000" s="372">
        <v>2024</v>
      </c>
      <c r="D1000" s="249">
        <v>0.4</v>
      </c>
      <c r="E1000" s="300">
        <v>1</v>
      </c>
      <c r="F1000" s="301">
        <v>3</v>
      </c>
      <c r="G1000" s="244">
        <v>21.062580000000001</v>
      </c>
      <c r="L1000" s="15"/>
    </row>
    <row r="1001" spans="1:12" ht="29.25" customHeight="1" x14ac:dyDescent="0.25">
      <c r="A1001" s="308" t="s">
        <v>784</v>
      </c>
      <c r="B1001" s="257" t="s">
        <v>1338</v>
      </c>
      <c r="C1001" s="372">
        <v>2024</v>
      </c>
      <c r="D1001" s="249">
        <v>0.4</v>
      </c>
      <c r="E1001" s="300">
        <v>1</v>
      </c>
      <c r="F1001" s="301">
        <v>5</v>
      </c>
      <c r="G1001" s="244">
        <v>12.902100000000001</v>
      </c>
      <c r="L1001" s="15"/>
    </row>
    <row r="1002" spans="1:12" ht="29.25" customHeight="1" x14ac:dyDescent="0.25">
      <c r="A1002" s="293" t="s">
        <v>786</v>
      </c>
      <c r="B1002" s="257" t="s">
        <v>1395</v>
      </c>
      <c r="C1002" s="372">
        <v>2024</v>
      </c>
      <c r="D1002" s="249">
        <v>0.4</v>
      </c>
      <c r="E1002" s="300">
        <v>1</v>
      </c>
      <c r="F1002" s="301">
        <v>150</v>
      </c>
      <c r="G1002" s="244">
        <v>44.583260000000003</v>
      </c>
      <c r="L1002" s="15"/>
    </row>
    <row r="1003" spans="1:12" ht="29.25" customHeight="1" x14ac:dyDescent="0.25">
      <c r="A1003" s="293" t="s">
        <v>786</v>
      </c>
      <c r="B1003" s="257" t="s">
        <v>1396</v>
      </c>
      <c r="C1003" s="372">
        <v>2024</v>
      </c>
      <c r="D1003" s="249">
        <v>0.4</v>
      </c>
      <c r="E1003" s="300">
        <v>1</v>
      </c>
      <c r="F1003" s="301">
        <v>80</v>
      </c>
      <c r="G1003" s="244">
        <v>55.814099999999996</v>
      </c>
      <c r="L1003" s="15"/>
    </row>
    <row r="1004" spans="1:12" ht="29.25" customHeight="1" x14ac:dyDescent="0.25">
      <c r="A1004" s="293" t="s">
        <v>785</v>
      </c>
      <c r="B1004" s="257" t="s">
        <v>1397</v>
      </c>
      <c r="C1004" s="372">
        <v>2024</v>
      </c>
      <c r="D1004" s="249">
        <v>0.4</v>
      </c>
      <c r="E1004" s="300">
        <v>1</v>
      </c>
      <c r="F1004" s="301">
        <v>50</v>
      </c>
      <c r="G1004" s="244">
        <v>21.609119999999997</v>
      </c>
      <c r="L1004" s="15"/>
    </row>
    <row r="1005" spans="1:12" ht="29.25" customHeight="1" x14ac:dyDescent="0.25">
      <c r="A1005" s="293" t="s">
        <v>786</v>
      </c>
      <c r="B1005" s="257" t="s">
        <v>1398</v>
      </c>
      <c r="C1005" s="372">
        <v>2024</v>
      </c>
      <c r="D1005" s="249">
        <v>0.4</v>
      </c>
      <c r="E1005" s="300">
        <v>1</v>
      </c>
      <c r="F1005" s="301">
        <v>150</v>
      </c>
      <c r="G1005" s="244">
        <v>118.32685000000001</v>
      </c>
      <c r="L1005" s="15"/>
    </row>
    <row r="1006" spans="1:12" ht="29.25" customHeight="1" x14ac:dyDescent="0.25">
      <c r="A1006" s="293" t="s">
        <v>786</v>
      </c>
      <c r="B1006" s="257" t="s">
        <v>1339</v>
      </c>
      <c r="C1006" s="372">
        <v>2024</v>
      </c>
      <c r="D1006" s="249">
        <v>0.4</v>
      </c>
      <c r="E1006" s="300">
        <v>1</v>
      </c>
      <c r="F1006" s="301">
        <v>300</v>
      </c>
      <c r="G1006" s="244">
        <v>64.588589999999996</v>
      </c>
      <c r="L1006" s="15"/>
    </row>
    <row r="1007" spans="1:12" ht="29.25" customHeight="1" x14ac:dyDescent="0.25">
      <c r="A1007" s="293" t="s">
        <v>786</v>
      </c>
      <c r="B1007" s="257" t="s">
        <v>1340</v>
      </c>
      <c r="C1007" s="372">
        <v>2024</v>
      </c>
      <c r="D1007" s="249">
        <v>0.4</v>
      </c>
      <c r="E1007" s="300">
        <v>1</v>
      </c>
      <c r="F1007" s="301">
        <v>150</v>
      </c>
      <c r="G1007" s="244">
        <v>25.181560000000001</v>
      </c>
      <c r="L1007" s="15"/>
    </row>
    <row r="1008" spans="1:12" ht="29.25" customHeight="1" x14ac:dyDescent="0.25">
      <c r="A1008" s="293" t="s">
        <v>786</v>
      </c>
      <c r="B1008" s="257" t="s">
        <v>1341</v>
      </c>
      <c r="C1008" s="372">
        <v>2024</v>
      </c>
      <c r="D1008" s="249">
        <v>0.4</v>
      </c>
      <c r="E1008" s="300">
        <v>1</v>
      </c>
      <c r="F1008" s="301">
        <v>150</v>
      </c>
      <c r="G1008" s="244">
        <v>24.439340000000001</v>
      </c>
      <c r="L1008" s="15"/>
    </row>
    <row r="1009" spans="1:12" ht="29.25" customHeight="1" x14ac:dyDescent="0.25">
      <c r="A1009" s="293" t="s">
        <v>786</v>
      </c>
      <c r="B1009" s="257" t="s">
        <v>1342</v>
      </c>
      <c r="C1009" s="372">
        <v>2024</v>
      </c>
      <c r="D1009" s="249">
        <v>0.4</v>
      </c>
      <c r="E1009" s="300">
        <v>1</v>
      </c>
      <c r="F1009" s="301">
        <v>150</v>
      </c>
      <c r="G1009" s="244">
        <v>24.309229999999999</v>
      </c>
      <c r="L1009" s="15"/>
    </row>
    <row r="1010" spans="1:12" ht="29.25" customHeight="1" x14ac:dyDescent="0.25">
      <c r="A1010" s="293" t="s">
        <v>786</v>
      </c>
      <c r="B1010" s="257" t="s">
        <v>1343</v>
      </c>
      <c r="C1010" s="372">
        <v>2024</v>
      </c>
      <c r="D1010" s="249">
        <v>0.4</v>
      </c>
      <c r="E1010" s="300">
        <v>1</v>
      </c>
      <c r="F1010" s="301">
        <v>150</v>
      </c>
      <c r="G1010" s="244">
        <v>27.982900000000001</v>
      </c>
      <c r="L1010" s="15"/>
    </row>
    <row r="1011" spans="1:12" ht="29.25" customHeight="1" x14ac:dyDescent="0.25">
      <c r="A1011" s="293" t="s">
        <v>786</v>
      </c>
      <c r="B1011" s="257" t="s">
        <v>1399</v>
      </c>
      <c r="C1011" s="372">
        <v>2024</v>
      </c>
      <c r="D1011" s="249">
        <v>0.4</v>
      </c>
      <c r="E1011" s="300">
        <v>1</v>
      </c>
      <c r="F1011" s="301">
        <v>60</v>
      </c>
      <c r="G1011" s="244">
        <v>40.014949999999999</v>
      </c>
      <c r="L1011" s="15"/>
    </row>
    <row r="1012" spans="1:12" ht="29.25" customHeight="1" x14ac:dyDescent="0.25">
      <c r="A1012" s="109" t="s">
        <v>786</v>
      </c>
      <c r="B1012" s="257" t="s">
        <v>1344</v>
      </c>
      <c r="C1012" s="357">
        <v>2024</v>
      </c>
      <c r="D1012" s="120">
        <v>0.4</v>
      </c>
      <c r="E1012" s="120">
        <v>1</v>
      </c>
      <c r="F1012" s="270">
        <v>150</v>
      </c>
      <c r="G1012" s="109">
        <v>27.489669999999997</v>
      </c>
      <c r="L1012" s="15"/>
    </row>
    <row r="1013" spans="1:12" ht="29.25" customHeight="1" x14ac:dyDescent="0.25">
      <c r="A1013" s="109" t="s">
        <v>786</v>
      </c>
      <c r="B1013" s="257" t="s">
        <v>1345</v>
      </c>
      <c r="C1013" s="357">
        <v>2024</v>
      </c>
      <c r="D1013" s="120">
        <v>0.4</v>
      </c>
      <c r="E1013" s="120">
        <v>1</v>
      </c>
      <c r="F1013" s="270">
        <v>150</v>
      </c>
      <c r="G1013" s="109">
        <v>25.581389999999999</v>
      </c>
      <c r="L1013" s="15"/>
    </row>
    <row r="1014" spans="1:12" ht="34.5" customHeight="1" x14ac:dyDescent="0.25"/>
    <row r="1015" spans="1:12" ht="28.5" customHeight="1" x14ac:dyDescent="0.25"/>
    <row r="1018" spans="1:12" ht="15.6" customHeight="1" x14ac:dyDescent="0.25">
      <c r="A1018" s="299" t="s">
        <v>3</v>
      </c>
      <c r="B1018" s="234"/>
      <c r="C1018" s="234"/>
      <c r="D1018" s="8"/>
      <c r="E1018" s="8"/>
      <c r="F1018" s="317" t="s">
        <v>2</v>
      </c>
    </row>
    <row r="1019" spans="1:12" x14ac:dyDescent="0.25">
      <c r="A1019" s="10"/>
      <c r="B1019" s="9"/>
      <c r="C1019" s="8"/>
      <c r="D1019" s="8"/>
      <c r="E1019" s="8"/>
      <c r="F1019" s="318"/>
    </row>
    <row r="1020" spans="1:12" ht="15" customHeight="1" x14ac:dyDescent="0.25">
      <c r="A1020" s="299" t="s">
        <v>1</v>
      </c>
      <c r="B1020" s="234"/>
      <c r="C1020" s="234"/>
      <c r="D1020" s="8"/>
      <c r="E1020" s="8"/>
      <c r="F1020" s="317" t="s">
        <v>1113</v>
      </c>
    </row>
  </sheetData>
  <printOptions horizontalCentered="1"/>
  <pageMargins left="0.19685039370078741" right="3.937007874015748E-2" top="0.15748031496062992" bottom="0.15748031496062992" header="0.31496062992125984" footer="0.31496062992125984"/>
  <pageSetup paperSize="9" scale="10" orientation="landscape" r:id="rId1"/>
  <rowBreaks count="1" manualBreakCount="1">
    <brk id="251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  <pageSetUpPr fitToPage="1"/>
  </sheetPr>
  <dimension ref="A1:T964"/>
  <sheetViews>
    <sheetView view="pageBreakPreview" topLeftCell="A142" zoomScaleNormal="100" zoomScaleSheetLayoutView="100" workbookViewId="0">
      <selection activeCell="B172" sqref="B172"/>
    </sheetView>
  </sheetViews>
  <sheetFormatPr defaultColWidth="9.140625" defaultRowHeight="15.75" x14ac:dyDescent="0.25"/>
  <cols>
    <col min="1" max="1" width="17.5703125" style="5" customWidth="1"/>
    <col min="2" max="2" width="65.5703125" style="4" bestFit="1" customWidth="1"/>
    <col min="3" max="3" width="16" style="1" customWidth="1"/>
    <col min="4" max="4" width="18.5703125" style="3" customWidth="1"/>
    <col min="5" max="5" width="21.7109375" style="3" customWidth="1"/>
    <col min="6" max="6" width="22.28515625" style="3" customWidth="1"/>
    <col min="7" max="7" width="17" style="2" customWidth="1"/>
    <col min="8" max="8" width="17" style="2" hidden="1" customWidth="1"/>
    <col min="9" max="9" width="10.85546875" style="1" hidden="1" customWidth="1"/>
    <col min="10" max="10" width="14.5703125" style="1" hidden="1" customWidth="1"/>
    <col min="11" max="11" width="20.7109375" style="1" hidden="1" customWidth="1"/>
    <col min="12" max="12" width="12.5703125" style="1" customWidth="1"/>
    <col min="13" max="13" width="18.42578125" style="1" customWidth="1"/>
    <col min="14" max="14" width="14" style="1" customWidth="1"/>
    <col min="15" max="15" width="19.28515625" style="1" customWidth="1"/>
    <col min="16" max="16" width="13.28515625" style="1" customWidth="1"/>
    <col min="17" max="20" width="9.140625" style="1" customWidth="1"/>
    <col min="21" max="16384" width="9.140625" style="1"/>
  </cols>
  <sheetData>
    <row r="1" spans="1:14" ht="22.5" customHeight="1" x14ac:dyDescent="0.25">
      <c r="F1" s="3" t="s">
        <v>683</v>
      </c>
      <c r="G1" s="1"/>
      <c r="H1" s="81"/>
    </row>
    <row r="2" spans="1:14" ht="16.5" customHeight="1" x14ac:dyDescent="0.25"/>
    <row r="3" spans="1:14" ht="26.25" customHeight="1" x14ac:dyDescent="0.25">
      <c r="A3" s="245" t="s">
        <v>794</v>
      </c>
      <c r="B3" s="233"/>
      <c r="C3" s="233"/>
      <c r="D3" s="5"/>
      <c r="E3" s="5"/>
      <c r="F3" s="5"/>
      <c r="G3" s="233"/>
      <c r="H3" s="5"/>
    </row>
    <row r="4" spans="1:14" ht="10.5" customHeight="1" thickBot="1" x14ac:dyDescent="0.3"/>
    <row r="5" spans="1:14" s="3" customFormat="1" ht="189.75" thickBot="1" x14ac:dyDescent="0.3">
      <c r="A5" s="214" t="s">
        <v>681</v>
      </c>
      <c r="B5" s="215" t="s">
        <v>680</v>
      </c>
      <c r="C5" s="216" t="s">
        <v>679</v>
      </c>
      <c r="D5" s="216" t="s">
        <v>678</v>
      </c>
      <c r="E5" s="216" t="s">
        <v>677</v>
      </c>
      <c r="F5" s="216" t="s">
        <v>676</v>
      </c>
      <c r="G5" s="217" t="s">
        <v>725</v>
      </c>
      <c r="H5" s="134"/>
    </row>
    <row r="6" spans="1:14" ht="15.75" customHeight="1" x14ac:dyDescent="0.25">
      <c r="A6" s="211">
        <v>1</v>
      </c>
      <c r="B6" s="212">
        <v>2</v>
      </c>
      <c r="C6" s="187">
        <v>3</v>
      </c>
      <c r="D6" s="187">
        <v>4</v>
      </c>
      <c r="E6" s="187">
        <v>5</v>
      </c>
      <c r="F6" s="187">
        <v>6</v>
      </c>
      <c r="G6" s="213">
        <v>7</v>
      </c>
      <c r="H6" s="3"/>
    </row>
    <row r="7" spans="1:14" s="30" customFormat="1" ht="15.75" customHeight="1" x14ac:dyDescent="0.25">
      <c r="A7" s="190" t="s">
        <v>744</v>
      </c>
      <c r="B7" s="34" t="s">
        <v>674</v>
      </c>
      <c r="C7" s="33"/>
      <c r="D7" s="17"/>
      <c r="E7" s="17"/>
      <c r="F7" s="17"/>
      <c r="G7" s="191"/>
      <c r="H7" s="135"/>
    </row>
    <row r="8" spans="1:14" ht="31.5" customHeight="1" x14ac:dyDescent="0.25">
      <c r="A8" s="192" t="s">
        <v>745</v>
      </c>
      <c r="B8" s="29" t="s">
        <v>672</v>
      </c>
      <c r="C8" s="13"/>
      <c r="D8" s="12"/>
      <c r="E8" s="12"/>
      <c r="F8" s="12"/>
      <c r="G8" s="193"/>
    </row>
    <row r="9" spans="1:14" ht="31.5" customHeight="1" x14ac:dyDescent="0.25">
      <c r="A9" s="192" t="s">
        <v>746</v>
      </c>
      <c r="B9" s="29" t="s">
        <v>670</v>
      </c>
      <c r="C9" s="13"/>
      <c r="D9" s="12"/>
      <c r="E9" s="12"/>
      <c r="F9" s="12"/>
      <c r="G9" s="193"/>
    </row>
    <row r="10" spans="1:14" ht="31.5" customHeight="1" x14ac:dyDescent="0.25">
      <c r="A10" s="192" t="s">
        <v>747</v>
      </c>
      <c r="B10" s="29" t="s">
        <v>668</v>
      </c>
      <c r="C10" s="13"/>
      <c r="D10" s="12"/>
      <c r="E10" s="12"/>
      <c r="F10" s="12"/>
      <c r="G10" s="193"/>
    </row>
    <row r="11" spans="1:14" ht="80.099999999999994" customHeight="1" x14ac:dyDescent="0.25">
      <c r="A11" s="192" t="s">
        <v>748</v>
      </c>
      <c r="B11" s="29" t="s">
        <v>666</v>
      </c>
      <c r="C11" s="13"/>
      <c r="D11" s="12"/>
      <c r="E11" s="12"/>
      <c r="F11" s="12"/>
      <c r="G11" s="193"/>
    </row>
    <row r="12" spans="1:14" ht="18.95" customHeight="1" x14ac:dyDescent="0.25">
      <c r="A12" s="192" t="s">
        <v>749</v>
      </c>
      <c r="B12" s="29" t="s">
        <v>664</v>
      </c>
      <c r="C12" s="13"/>
      <c r="D12" s="12"/>
      <c r="E12" s="12"/>
      <c r="F12" s="12"/>
      <c r="G12" s="193"/>
    </row>
    <row r="13" spans="1:14" ht="30.75" customHeight="1" x14ac:dyDescent="0.25">
      <c r="A13" s="192" t="s">
        <v>787</v>
      </c>
      <c r="B13" s="29" t="s">
        <v>788</v>
      </c>
      <c r="C13" s="13"/>
      <c r="D13" s="12"/>
      <c r="E13" s="12"/>
      <c r="F13" s="12"/>
      <c r="G13" s="193"/>
    </row>
    <row r="14" spans="1:14" ht="17.25" customHeight="1" x14ac:dyDescent="0.25">
      <c r="A14" s="194" t="s">
        <v>751</v>
      </c>
      <c r="B14" s="82" t="s">
        <v>252</v>
      </c>
      <c r="C14" s="60">
        <v>2021</v>
      </c>
      <c r="D14" s="60">
        <v>0.4</v>
      </c>
      <c r="E14" s="60">
        <v>120</v>
      </c>
      <c r="F14" s="60">
        <v>15</v>
      </c>
      <c r="G14" s="195">
        <v>27.730599999999999</v>
      </c>
      <c r="H14" s="143"/>
      <c r="I14" s="57" t="s">
        <v>636</v>
      </c>
      <c r="J14" s="65"/>
      <c r="L14" s="64"/>
      <c r="N14" s="52"/>
    </row>
    <row r="15" spans="1:14" ht="17.25" customHeight="1" x14ac:dyDescent="0.25">
      <c r="A15" s="194" t="s">
        <v>751</v>
      </c>
      <c r="B15" s="82" t="s">
        <v>635</v>
      </c>
      <c r="C15" s="60">
        <v>2021</v>
      </c>
      <c r="D15" s="60">
        <v>0.4</v>
      </c>
      <c r="E15" s="60">
        <v>46</v>
      </c>
      <c r="F15" s="60">
        <v>15</v>
      </c>
      <c r="G15" s="195">
        <v>28.8673</v>
      </c>
      <c r="H15" s="143"/>
      <c r="I15" s="57" t="s">
        <v>634</v>
      </c>
      <c r="J15" s="65"/>
      <c r="L15" s="64"/>
      <c r="N15" s="52"/>
    </row>
    <row r="16" spans="1:14" ht="17.25" customHeight="1" x14ac:dyDescent="0.25">
      <c r="A16" s="194" t="s">
        <v>751</v>
      </c>
      <c r="B16" s="82" t="s">
        <v>633</v>
      </c>
      <c r="C16" s="60">
        <v>2021</v>
      </c>
      <c r="D16" s="60">
        <v>0.4</v>
      </c>
      <c r="E16" s="60">
        <v>61</v>
      </c>
      <c r="F16" s="60">
        <v>15</v>
      </c>
      <c r="G16" s="195">
        <v>35.5533</v>
      </c>
      <c r="H16" s="143"/>
      <c r="I16" s="57" t="s">
        <v>632</v>
      </c>
      <c r="J16" s="65"/>
      <c r="L16" s="64"/>
      <c r="N16" s="52"/>
    </row>
    <row r="17" spans="1:16" ht="17.25" customHeight="1" x14ac:dyDescent="0.25">
      <c r="A17" s="194" t="s">
        <v>750</v>
      </c>
      <c r="B17" s="82" t="s">
        <v>631</v>
      </c>
      <c r="C17" s="60">
        <v>2021</v>
      </c>
      <c r="D17" s="60">
        <v>0.4</v>
      </c>
      <c r="E17" s="60">
        <v>274</v>
      </c>
      <c r="F17" s="60">
        <v>15</v>
      </c>
      <c r="G17" s="195">
        <v>372.01900000000001</v>
      </c>
      <c r="H17" s="143"/>
      <c r="I17" s="57" t="s">
        <v>630</v>
      </c>
      <c r="J17" s="65"/>
      <c r="L17" s="64"/>
      <c r="N17" s="52"/>
    </row>
    <row r="18" spans="1:16" ht="17.25" customHeight="1" x14ac:dyDescent="0.25">
      <c r="A18" s="194" t="s">
        <v>751</v>
      </c>
      <c r="B18" s="82" t="s">
        <v>629</v>
      </c>
      <c r="C18" s="60">
        <v>2021</v>
      </c>
      <c r="D18" s="60">
        <v>0.4</v>
      </c>
      <c r="E18" s="60">
        <v>53</v>
      </c>
      <c r="F18" s="60">
        <v>15</v>
      </c>
      <c r="G18" s="195">
        <v>23.258099999999999</v>
      </c>
      <c r="H18" s="143"/>
      <c r="I18" s="57" t="s">
        <v>628</v>
      </c>
      <c r="J18" s="65"/>
      <c r="L18" s="64"/>
      <c r="N18" s="52"/>
    </row>
    <row r="19" spans="1:16" ht="17.25" customHeight="1" x14ac:dyDescent="0.25">
      <c r="A19" s="194" t="s">
        <v>751</v>
      </c>
      <c r="B19" s="82" t="s">
        <v>627</v>
      </c>
      <c r="C19" s="60">
        <v>2021</v>
      </c>
      <c r="D19" s="60">
        <v>0.4</v>
      </c>
      <c r="E19" s="60">
        <v>20</v>
      </c>
      <c r="F19" s="60">
        <v>5</v>
      </c>
      <c r="G19" s="195">
        <v>16.187100000000001</v>
      </c>
      <c r="H19" s="143"/>
      <c r="I19" s="57" t="s">
        <v>626</v>
      </c>
      <c r="J19" s="65"/>
      <c r="L19" s="64"/>
      <c r="N19" s="52"/>
    </row>
    <row r="20" spans="1:16" ht="17.25" customHeight="1" x14ac:dyDescent="0.25">
      <c r="A20" s="194" t="s">
        <v>751</v>
      </c>
      <c r="B20" s="82" t="s">
        <v>625</v>
      </c>
      <c r="C20" s="60">
        <v>2021</v>
      </c>
      <c r="D20" s="60">
        <v>0.4</v>
      </c>
      <c r="E20" s="60">
        <v>120</v>
      </c>
      <c r="F20" s="60">
        <v>15</v>
      </c>
      <c r="G20" s="195">
        <v>23.052399999999999</v>
      </c>
      <c r="H20" s="143"/>
      <c r="I20" s="57" t="s">
        <v>624</v>
      </c>
      <c r="J20" s="65"/>
      <c r="L20" s="64"/>
      <c r="N20" s="52"/>
    </row>
    <row r="21" spans="1:16" ht="17.25" customHeight="1" x14ac:dyDescent="0.25">
      <c r="A21" s="194" t="s">
        <v>751</v>
      </c>
      <c r="B21" s="82" t="s">
        <v>124</v>
      </c>
      <c r="C21" s="60">
        <v>2021</v>
      </c>
      <c r="D21" s="60">
        <v>0.4</v>
      </c>
      <c r="E21" s="60">
        <v>40</v>
      </c>
      <c r="F21" s="60">
        <v>15</v>
      </c>
      <c r="G21" s="195">
        <v>11.1975</v>
      </c>
      <c r="H21" s="143"/>
      <c r="I21" s="57" t="s">
        <v>623</v>
      </c>
      <c r="J21" s="65"/>
      <c r="L21" s="64"/>
      <c r="N21" s="52"/>
    </row>
    <row r="22" spans="1:16" ht="17.25" customHeight="1" x14ac:dyDescent="0.25">
      <c r="A22" s="194" t="s">
        <v>751</v>
      </c>
      <c r="B22" s="82" t="s">
        <v>622</v>
      </c>
      <c r="C22" s="60">
        <v>2021</v>
      </c>
      <c r="D22" s="60">
        <v>0.4</v>
      </c>
      <c r="E22" s="60">
        <v>95</v>
      </c>
      <c r="F22" s="60">
        <v>15</v>
      </c>
      <c r="G22" s="195">
        <v>98.036500000000004</v>
      </c>
      <c r="H22" s="143"/>
      <c r="I22" s="57" t="s">
        <v>621</v>
      </c>
      <c r="J22" s="65"/>
      <c r="L22" s="64"/>
      <c r="N22" s="52"/>
    </row>
    <row r="23" spans="1:16" ht="17.25" customHeight="1" x14ac:dyDescent="0.25">
      <c r="A23" s="194" t="s">
        <v>751</v>
      </c>
      <c r="B23" s="82" t="s">
        <v>207</v>
      </c>
      <c r="C23" s="60">
        <v>2021</v>
      </c>
      <c r="D23" s="60">
        <v>0.4</v>
      </c>
      <c r="E23" s="60">
        <v>28</v>
      </c>
      <c r="F23" s="60">
        <v>5</v>
      </c>
      <c r="G23" s="195">
        <v>10.8569</v>
      </c>
      <c r="H23" s="143"/>
      <c r="I23" s="57" t="s">
        <v>434</v>
      </c>
      <c r="J23" s="65"/>
      <c r="L23" s="64"/>
      <c r="N23" s="52"/>
    </row>
    <row r="24" spans="1:16" ht="17.25" customHeight="1" x14ac:dyDescent="0.25">
      <c r="A24" s="194" t="s">
        <v>751</v>
      </c>
      <c r="B24" s="82" t="s">
        <v>433</v>
      </c>
      <c r="C24" s="60">
        <v>2021</v>
      </c>
      <c r="D24" s="60">
        <v>0.4</v>
      </c>
      <c r="E24" s="60">
        <v>63</v>
      </c>
      <c r="F24" s="60">
        <v>5</v>
      </c>
      <c r="G24" s="195">
        <v>15.677</v>
      </c>
      <c r="H24" s="143"/>
      <c r="I24" s="57" t="s">
        <v>432</v>
      </c>
      <c r="J24" s="65"/>
      <c r="L24" s="64"/>
      <c r="N24" s="52"/>
    </row>
    <row r="25" spans="1:16" ht="17.25" customHeight="1" x14ac:dyDescent="0.25">
      <c r="A25" s="194" t="s">
        <v>751</v>
      </c>
      <c r="B25" s="82" t="s">
        <v>620</v>
      </c>
      <c r="C25" s="60">
        <v>2021</v>
      </c>
      <c r="D25" s="60">
        <v>0.4</v>
      </c>
      <c r="E25" s="60">
        <v>111</v>
      </c>
      <c r="F25" s="60">
        <v>15</v>
      </c>
      <c r="G25" s="195">
        <v>138.12799999999999</v>
      </c>
      <c r="H25" s="143"/>
      <c r="I25" s="57" t="s">
        <v>619</v>
      </c>
      <c r="J25" s="65"/>
      <c r="L25" s="64"/>
      <c r="N25" s="52"/>
    </row>
    <row r="26" spans="1:16" ht="17.25" customHeight="1" x14ac:dyDescent="0.25">
      <c r="A26" s="194" t="s">
        <v>751</v>
      </c>
      <c r="B26" s="82" t="s">
        <v>618</v>
      </c>
      <c r="C26" s="60">
        <v>2021</v>
      </c>
      <c r="D26" s="60">
        <v>0.4</v>
      </c>
      <c r="E26" s="60">
        <v>224</v>
      </c>
      <c r="F26" s="60">
        <v>5</v>
      </c>
      <c r="G26" s="195">
        <v>65.398700000000005</v>
      </c>
      <c r="H26" s="143"/>
      <c r="I26" s="57" t="s">
        <v>617</v>
      </c>
      <c r="J26" s="65"/>
      <c r="L26" s="64"/>
      <c r="N26" s="52"/>
    </row>
    <row r="27" spans="1:16" ht="17.25" customHeight="1" x14ac:dyDescent="0.25">
      <c r="A27" s="194" t="s">
        <v>751</v>
      </c>
      <c r="B27" s="82" t="s">
        <v>616</v>
      </c>
      <c r="C27" s="60">
        <v>2021</v>
      </c>
      <c r="D27" s="60">
        <v>0.4</v>
      </c>
      <c r="E27" s="60">
        <v>200</v>
      </c>
      <c r="F27" s="60">
        <v>15</v>
      </c>
      <c r="G27" s="195">
        <v>303.72000000000003</v>
      </c>
      <c r="H27" s="143"/>
      <c r="I27" s="57" t="s">
        <v>615</v>
      </c>
      <c r="J27" s="65"/>
      <c r="L27" s="64"/>
      <c r="N27" s="52"/>
    </row>
    <row r="28" spans="1:16" ht="17.25" customHeight="1" x14ac:dyDescent="0.25">
      <c r="A28" s="194" t="s">
        <v>751</v>
      </c>
      <c r="B28" s="82" t="s">
        <v>215</v>
      </c>
      <c r="C28" s="60">
        <v>2021</v>
      </c>
      <c r="D28" s="60">
        <v>0.4</v>
      </c>
      <c r="E28" s="60">
        <v>32</v>
      </c>
      <c r="F28" s="60">
        <v>15</v>
      </c>
      <c r="G28" s="195">
        <v>15.5602</v>
      </c>
      <c r="H28" s="143"/>
      <c r="I28" s="57" t="s">
        <v>614</v>
      </c>
      <c r="J28" s="65"/>
      <c r="L28" s="64"/>
      <c r="N28" s="52"/>
    </row>
    <row r="29" spans="1:16" ht="17.25" customHeight="1" x14ac:dyDescent="0.25">
      <c r="A29" s="194" t="s">
        <v>751</v>
      </c>
      <c r="B29" s="82" t="s">
        <v>613</v>
      </c>
      <c r="C29" s="60">
        <v>2021</v>
      </c>
      <c r="D29" s="60">
        <v>0.4</v>
      </c>
      <c r="E29" s="60">
        <v>84</v>
      </c>
      <c r="F29" s="60">
        <v>15</v>
      </c>
      <c r="G29" s="195">
        <v>27.002099999999999</v>
      </c>
      <c r="H29" s="143"/>
      <c r="I29" s="57" t="s">
        <v>612</v>
      </c>
      <c r="J29" s="65"/>
      <c r="L29" s="64"/>
      <c r="N29" s="52"/>
    </row>
    <row r="30" spans="1:16" ht="17.25" customHeight="1" x14ac:dyDescent="0.25">
      <c r="A30" s="194" t="s">
        <v>750</v>
      </c>
      <c r="B30" s="82" t="s">
        <v>611</v>
      </c>
      <c r="C30" s="60">
        <v>2021</v>
      </c>
      <c r="D30" s="60">
        <v>0.4</v>
      </c>
      <c r="E30" s="60">
        <v>43</v>
      </c>
      <c r="F30" s="60"/>
      <c r="G30" s="195">
        <v>26.329499999999999</v>
      </c>
      <c r="H30" s="143"/>
      <c r="I30" s="57"/>
      <c r="J30" s="65"/>
      <c r="L30" s="64"/>
      <c r="N30" s="52"/>
    </row>
    <row r="31" spans="1:16" ht="17.25" customHeight="1" thickBot="1" x14ac:dyDescent="0.3">
      <c r="A31" s="194" t="s">
        <v>751</v>
      </c>
      <c r="B31" s="82" t="s">
        <v>610</v>
      </c>
      <c r="C31" s="60">
        <v>2021</v>
      </c>
      <c r="D31" s="60">
        <v>0.4</v>
      </c>
      <c r="E31" s="60">
        <v>70</v>
      </c>
      <c r="F31" s="60">
        <v>5</v>
      </c>
      <c r="G31" s="195">
        <v>34.062600000000003</v>
      </c>
      <c r="H31" s="143"/>
      <c r="I31" s="57" t="s">
        <v>609</v>
      </c>
      <c r="J31" s="65"/>
      <c r="L31" s="156"/>
      <c r="N31" s="52"/>
    </row>
    <row r="32" spans="1:16" ht="17.25" customHeight="1" thickBot="1" x14ac:dyDescent="0.3">
      <c r="A32" s="194" t="s">
        <v>751</v>
      </c>
      <c r="B32" s="82" t="s">
        <v>608</v>
      </c>
      <c r="C32" s="60">
        <v>2021</v>
      </c>
      <c r="D32" s="60">
        <v>6</v>
      </c>
      <c r="E32" s="60">
        <v>10</v>
      </c>
      <c r="F32" s="60">
        <v>5</v>
      </c>
      <c r="G32" s="195">
        <v>94.545400000000001</v>
      </c>
      <c r="H32" s="143"/>
      <c r="I32" s="57" t="s">
        <v>607</v>
      </c>
      <c r="J32" s="65"/>
      <c r="L32" s="161">
        <f>SUBTOTAL(9,E14:E132)</f>
        <v>14159</v>
      </c>
      <c r="M32" s="158"/>
      <c r="N32" s="159"/>
      <c r="O32" s="158"/>
      <c r="P32" s="160"/>
    </row>
    <row r="33" spans="1:14" ht="17.25" customHeight="1" x14ac:dyDescent="0.25">
      <c r="A33" s="194" t="s">
        <v>750</v>
      </c>
      <c r="B33" s="82" t="s">
        <v>606</v>
      </c>
      <c r="C33" s="60">
        <v>2021</v>
      </c>
      <c r="D33" s="60">
        <v>0.4</v>
      </c>
      <c r="E33" s="60">
        <v>261</v>
      </c>
      <c r="F33" s="60">
        <v>15</v>
      </c>
      <c r="G33" s="195">
        <v>109.60299999999999</v>
      </c>
      <c r="H33" s="143"/>
      <c r="I33" s="57" t="s">
        <v>605</v>
      </c>
      <c r="J33" s="65"/>
      <c r="L33" s="64"/>
      <c r="N33" s="52"/>
    </row>
    <row r="34" spans="1:14" ht="17.25" customHeight="1" x14ac:dyDescent="0.25">
      <c r="A34" s="194" t="s">
        <v>751</v>
      </c>
      <c r="B34" s="82" t="s">
        <v>186</v>
      </c>
      <c r="C34" s="60">
        <v>2021</v>
      </c>
      <c r="D34" s="60">
        <v>0.4</v>
      </c>
      <c r="E34" s="60">
        <v>30</v>
      </c>
      <c r="F34" s="60">
        <v>15</v>
      </c>
      <c r="G34" s="195">
        <v>21.963000000000001</v>
      </c>
      <c r="H34" s="143"/>
      <c r="I34" s="57" t="s">
        <v>604</v>
      </c>
      <c r="J34" s="65"/>
      <c r="L34" s="64"/>
      <c r="N34" s="52"/>
    </row>
    <row r="35" spans="1:14" ht="17.25" customHeight="1" x14ac:dyDescent="0.25">
      <c r="A35" s="194" t="s">
        <v>751</v>
      </c>
      <c r="B35" s="82" t="s">
        <v>142</v>
      </c>
      <c r="C35" s="60">
        <v>2021</v>
      </c>
      <c r="D35" s="60">
        <v>0.4</v>
      </c>
      <c r="E35" s="60">
        <v>196</v>
      </c>
      <c r="F35" s="60">
        <v>5</v>
      </c>
      <c r="G35" s="195">
        <v>93.299000000000007</v>
      </c>
      <c r="H35" s="143"/>
      <c r="I35" s="57" t="s">
        <v>603</v>
      </c>
      <c r="J35" s="65"/>
      <c r="L35" s="64"/>
      <c r="N35" s="52"/>
    </row>
    <row r="36" spans="1:14" ht="17.25" customHeight="1" x14ac:dyDescent="0.25">
      <c r="A36" s="194" t="s">
        <v>751</v>
      </c>
      <c r="B36" s="82" t="s">
        <v>602</v>
      </c>
      <c r="C36" s="60">
        <v>2021</v>
      </c>
      <c r="D36" s="60">
        <v>0.4</v>
      </c>
      <c r="E36" s="60">
        <v>86</v>
      </c>
      <c r="F36" s="60">
        <v>10</v>
      </c>
      <c r="G36" s="195">
        <v>29.929400000000001</v>
      </c>
      <c r="H36" s="143"/>
      <c r="I36" s="57" t="s">
        <v>601</v>
      </c>
      <c r="J36" s="65"/>
      <c r="L36" s="64"/>
      <c r="N36" s="52"/>
    </row>
    <row r="37" spans="1:14" ht="17.25" customHeight="1" x14ac:dyDescent="0.25">
      <c r="A37" s="194" t="s">
        <v>751</v>
      </c>
      <c r="B37" s="82" t="s">
        <v>600</v>
      </c>
      <c r="C37" s="60">
        <v>2021</v>
      </c>
      <c r="D37" s="60">
        <v>0.4</v>
      </c>
      <c r="E37" s="60">
        <v>274</v>
      </c>
      <c r="F37" s="60">
        <v>10</v>
      </c>
      <c r="G37" s="195">
        <v>149.434</v>
      </c>
      <c r="H37" s="143"/>
      <c r="I37" s="57" t="s">
        <v>599</v>
      </c>
      <c r="J37" s="65"/>
      <c r="L37" s="64"/>
      <c r="N37" s="52"/>
    </row>
    <row r="38" spans="1:14" ht="17.25" customHeight="1" x14ac:dyDescent="0.25">
      <c r="A38" s="194" t="s">
        <v>751</v>
      </c>
      <c r="B38" s="82" t="s">
        <v>598</v>
      </c>
      <c r="C38" s="60">
        <v>2021</v>
      </c>
      <c r="D38" s="60">
        <v>0.4</v>
      </c>
      <c r="E38" s="60">
        <v>76</v>
      </c>
      <c r="F38" s="60">
        <v>10</v>
      </c>
      <c r="G38" s="195">
        <v>22.759799999999998</v>
      </c>
      <c r="H38" s="143"/>
      <c r="I38" s="57" t="s">
        <v>597</v>
      </c>
      <c r="J38" s="65"/>
      <c r="L38" s="64"/>
      <c r="N38" s="52"/>
    </row>
    <row r="39" spans="1:14" ht="17.25" customHeight="1" x14ac:dyDescent="0.25">
      <c r="A39" s="194" t="s">
        <v>751</v>
      </c>
      <c r="B39" s="82" t="s">
        <v>596</v>
      </c>
      <c r="C39" s="60">
        <v>2021</v>
      </c>
      <c r="D39" s="60">
        <v>0.4</v>
      </c>
      <c r="E39" s="60">
        <v>67</v>
      </c>
      <c r="F39" s="60">
        <v>10</v>
      </c>
      <c r="G39" s="195">
        <v>9.6864899999999992</v>
      </c>
      <c r="H39" s="143"/>
      <c r="I39" s="57" t="s">
        <v>595</v>
      </c>
      <c r="J39" s="65"/>
      <c r="L39" s="64"/>
      <c r="N39" s="52"/>
    </row>
    <row r="40" spans="1:14" ht="17.25" customHeight="1" x14ac:dyDescent="0.25">
      <c r="A40" s="194" t="s">
        <v>751</v>
      </c>
      <c r="B40" s="82" t="s">
        <v>594</v>
      </c>
      <c r="C40" s="60">
        <v>2021</v>
      </c>
      <c r="D40" s="60">
        <v>0.4</v>
      </c>
      <c r="E40" s="60">
        <v>240</v>
      </c>
      <c r="F40" s="60">
        <v>30</v>
      </c>
      <c r="G40" s="195">
        <v>54.777200000000001</v>
      </c>
      <c r="H40" s="143"/>
      <c r="I40" s="57" t="s">
        <v>593</v>
      </c>
      <c r="J40" s="65"/>
      <c r="L40" s="64"/>
      <c r="N40" s="52"/>
    </row>
    <row r="41" spans="1:14" ht="17.25" customHeight="1" x14ac:dyDescent="0.25">
      <c r="A41" s="194" t="s">
        <v>751</v>
      </c>
      <c r="B41" s="82" t="s">
        <v>592</v>
      </c>
      <c r="C41" s="60">
        <v>2021</v>
      </c>
      <c r="D41" s="60">
        <v>0.4</v>
      </c>
      <c r="E41" s="60">
        <v>75</v>
      </c>
      <c r="F41" s="60">
        <v>50</v>
      </c>
      <c r="G41" s="195">
        <v>27.682300000000001</v>
      </c>
      <c r="H41" s="143"/>
      <c r="I41" s="57" t="s">
        <v>591</v>
      </c>
      <c r="J41" s="65"/>
      <c r="L41" s="64"/>
      <c r="N41" s="52"/>
    </row>
    <row r="42" spans="1:14" ht="17.25" customHeight="1" x14ac:dyDescent="0.25">
      <c r="A42" s="194" t="s">
        <v>751</v>
      </c>
      <c r="B42" s="82" t="s">
        <v>130</v>
      </c>
      <c r="C42" s="60">
        <v>2021</v>
      </c>
      <c r="D42" s="60">
        <v>0.4</v>
      </c>
      <c r="E42" s="60">
        <v>85</v>
      </c>
      <c r="F42" s="60">
        <v>15</v>
      </c>
      <c r="G42" s="195">
        <v>154.65600000000001</v>
      </c>
      <c r="H42" s="143"/>
      <c r="I42" s="57" t="s">
        <v>590</v>
      </c>
      <c r="J42" s="65"/>
      <c r="L42" s="64"/>
      <c r="N42" s="52"/>
    </row>
    <row r="43" spans="1:14" ht="17.25" customHeight="1" x14ac:dyDescent="0.25">
      <c r="A43" s="194" t="s">
        <v>751</v>
      </c>
      <c r="B43" s="82" t="s">
        <v>589</v>
      </c>
      <c r="C43" s="60">
        <v>2021</v>
      </c>
      <c r="D43" s="60">
        <v>0.4</v>
      </c>
      <c r="E43" s="60">
        <v>71</v>
      </c>
      <c r="F43" s="60">
        <v>14</v>
      </c>
      <c r="G43" s="195">
        <v>34.4816</v>
      </c>
      <c r="H43" s="143"/>
      <c r="I43" s="57" t="s">
        <v>588</v>
      </c>
      <c r="J43" s="65"/>
      <c r="L43" s="64"/>
      <c r="N43" s="52"/>
    </row>
    <row r="44" spans="1:14" ht="17.25" customHeight="1" x14ac:dyDescent="0.25">
      <c r="A44" s="194" t="s">
        <v>751</v>
      </c>
      <c r="B44" s="82" t="s">
        <v>587</v>
      </c>
      <c r="C44" s="60">
        <v>2021</v>
      </c>
      <c r="D44" s="60">
        <v>0.4</v>
      </c>
      <c r="E44" s="60">
        <v>72</v>
      </c>
      <c r="F44" s="60">
        <v>14</v>
      </c>
      <c r="G44" s="195">
        <v>12.555999999999999</v>
      </c>
      <c r="H44" s="143"/>
      <c r="I44" s="57" t="s">
        <v>586</v>
      </c>
      <c r="J44" s="65"/>
      <c r="L44" s="64"/>
      <c r="N44" s="52"/>
    </row>
    <row r="45" spans="1:14" ht="17.25" customHeight="1" x14ac:dyDescent="0.25">
      <c r="A45" s="194" t="s">
        <v>750</v>
      </c>
      <c r="B45" s="82" t="s">
        <v>585</v>
      </c>
      <c r="C45" s="60">
        <v>2021</v>
      </c>
      <c r="D45" s="60">
        <v>0.4</v>
      </c>
      <c r="E45" s="60">
        <v>367</v>
      </c>
      <c r="F45" s="60">
        <v>60</v>
      </c>
      <c r="G45" s="195">
        <v>244.22300000000001</v>
      </c>
      <c r="H45" s="143"/>
      <c r="I45" s="57" t="s">
        <v>584</v>
      </c>
      <c r="J45" s="65"/>
      <c r="L45" s="64"/>
      <c r="N45" s="52"/>
    </row>
    <row r="46" spans="1:14" ht="17.25" customHeight="1" x14ac:dyDescent="0.25">
      <c r="A46" s="194" t="s">
        <v>750</v>
      </c>
      <c r="B46" s="82" t="s">
        <v>583</v>
      </c>
      <c r="C46" s="60">
        <v>2021</v>
      </c>
      <c r="D46" s="60">
        <v>0.4</v>
      </c>
      <c r="E46" s="60">
        <v>220</v>
      </c>
      <c r="F46" s="60">
        <v>45</v>
      </c>
      <c r="G46" s="195">
        <v>71.641000000000005</v>
      </c>
      <c r="H46" s="143"/>
      <c r="I46" s="57" t="s">
        <v>582</v>
      </c>
      <c r="J46" s="65"/>
      <c r="L46" s="64"/>
      <c r="N46" s="52"/>
    </row>
    <row r="47" spans="1:14" ht="17.25" customHeight="1" x14ac:dyDescent="0.25">
      <c r="A47" s="194" t="s">
        <v>751</v>
      </c>
      <c r="B47" s="82" t="s">
        <v>150</v>
      </c>
      <c r="C47" s="60">
        <v>2021</v>
      </c>
      <c r="D47" s="60">
        <v>0.4</v>
      </c>
      <c r="E47" s="60">
        <v>178</v>
      </c>
      <c r="F47" s="60">
        <v>15</v>
      </c>
      <c r="G47" s="195">
        <v>72.457300000000004</v>
      </c>
      <c r="H47" s="143"/>
      <c r="I47" s="57" t="s">
        <v>581</v>
      </c>
      <c r="J47" s="65"/>
      <c r="L47" s="64"/>
      <c r="N47" s="52"/>
    </row>
    <row r="48" spans="1:14" ht="17.25" customHeight="1" x14ac:dyDescent="0.25">
      <c r="A48" s="194" t="s">
        <v>753</v>
      </c>
      <c r="B48" s="82" t="s">
        <v>514</v>
      </c>
      <c r="C48" s="60">
        <v>2021</v>
      </c>
      <c r="D48" s="60">
        <v>0.4</v>
      </c>
      <c r="E48" s="60">
        <v>156</v>
      </c>
      <c r="F48" s="60">
        <v>100</v>
      </c>
      <c r="G48" s="195">
        <v>580.70000000000005</v>
      </c>
      <c r="H48" s="143"/>
      <c r="I48" s="57" t="s">
        <v>361</v>
      </c>
      <c r="J48" s="65"/>
      <c r="L48" s="64"/>
      <c r="N48" s="52"/>
    </row>
    <row r="49" spans="1:14" ht="17.25" customHeight="1" x14ac:dyDescent="0.25">
      <c r="A49" s="194" t="s">
        <v>751</v>
      </c>
      <c r="B49" s="82" t="s">
        <v>580</v>
      </c>
      <c r="C49" s="60">
        <v>2021</v>
      </c>
      <c r="D49" s="60">
        <v>0.4</v>
      </c>
      <c r="E49" s="45">
        <v>264</v>
      </c>
      <c r="F49" s="60">
        <v>30</v>
      </c>
      <c r="G49" s="195">
        <v>140.744</v>
      </c>
      <c r="H49" s="143"/>
      <c r="I49" s="57" t="s">
        <v>579</v>
      </c>
      <c r="J49" s="65"/>
      <c r="L49" s="64"/>
      <c r="N49" s="52"/>
    </row>
    <row r="50" spans="1:14" ht="17.25" customHeight="1" x14ac:dyDescent="0.25">
      <c r="A50" s="194" t="s">
        <v>750</v>
      </c>
      <c r="B50" s="82" t="s">
        <v>578</v>
      </c>
      <c r="C50" s="60">
        <v>2021</v>
      </c>
      <c r="D50" s="60">
        <v>0.4</v>
      </c>
      <c r="E50" s="45">
        <v>145</v>
      </c>
      <c r="F50" s="60">
        <v>60</v>
      </c>
      <c r="G50" s="195">
        <v>155.47999999999999</v>
      </c>
      <c r="H50" s="143"/>
      <c r="I50" s="57" t="s">
        <v>577</v>
      </c>
      <c r="J50" s="65"/>
      <c r="L50" s="64"/>
      <c r="N50" s="52"/>
    </row>
    <row r="51" spans="1:14" ht="17.25" customHeight="1" x14ac:dyDescent="0.25">
      <c r="A51" s="194" t="s">
        <v>750</v>
      </c>
      <c r="B51" s="82" t="s">
        <v>405</v>
      </c>
      <c r="C51" s="60">
        <v>2021</v>
      </c>
      <c r="D51" s="60">
        <v>0.4</v>
      </c>
      <c r="E51" s="45">
        <v>95</v>
      </c>
      <c r="F51" s="60">
        <v>70</v>
      </c>
      <c r="G51" s="195">
        <v>65.470399999999998</v>
      </c>
      <c r="H51" s="143"/>
      <c r="I51" s="57" t="s">
        <v>404</v>
      </c>
      <c r="J51" s="65"/>
      <c r="L51" s="64"/>
      <c r="N51" s="52"/>
    </row>
    <row r="52" spans="1:14" ht="17.25" customHeight="1" x14ac:dyDescent="0.25">
      <c r="A52" s="194" t="s">
        <v>751</v>
      </c>
      <c r="B52" s="82" t="s">
        <v>576</v>
      </c>
      <c r="C52" s="60">
        <v>2021</v>
      </c>
      <c r="D52" s="60">
        <v>0.4</v>
      </c>
      <c r="E52" s="45">
        <v>284</v>
      </c>
      <c r="F52" s="60">
        <v>25</v>
      </c>
      <c r="G52" s="195">
        <v>206.99700000000001</v>
      </c>
      <c r="H52" s="143"/>
      <c r="I52" s="57" t="s">
        <v>575</v>
      </c>
      <c r="J52" s="65"/>
      <c r="L52" s="64"/>
      <c r="N52" s="52"/>
    </row>
    <row r="53" spans="1:14" ht="17.25" customHeight="1" x14ac:dyDescent="0.25">
      <c r="A53" s="194" t="s">
        <v>750</v>
      </c>
      <c r="B53" s="82" t="s">
        <v>574</v>
      </c>
      <c r="C53" s="60">
        <v>2021</v>
      </c>
      <c r="D53" s="60">
        <v>0.4</v>
      </c>
      <c r="E53" s="45">
        <v>409</v>
      </c>
      <c r="F53" s="60">
        <v>5</v>
      </c>
      <c r="G53" s="195">
        <v>442.49599999999998</v>
      </c>
      <c r="H53" s="143"/>
      <c r="I53" s="57" t="s">
        <v>573</v>
      </c>
      <c r="J53" s="65"/>
      <c r="L53" s="64"/>
      <c r="N53" s="52"/>
    </row>
    <row r="54" spans="1:14" ht="17.25" customHeight="1" x14ac:dyDescent="0.25">
      <c r="A54" s="194" t="s">
        <v>751</v>
      </c>
      <c r="B54" s="83" t="s">
        <v>121</v>
      </c>
      <c r="C54" s="45">
        <v>2022</v>
      </c>
      <c r="D54" s="60">
        <v>0.4</v>
      </c>
      <c r="E54" s="45">
        <v>69</v>
      </c>
      <c r="F54" s="60">
        <v>15</v>
      </c>
      <c r="G54" s="195">
        <v>13.256209999999999</v>
      </c>
      <c r="H54" s="148"/>
      <c r="I54" s="57"/>
      <c r="J54" s="58"/>
      <c r="L54" s="57"/>
      <c r="N54" s="52"/>
    </row>
    <row r="55" spans="1:14" ht="17.25" customHeight="1" x14ac:dyDescent="0.25">
      <c r="A55" s="194" t="s">
        <v>751</v>
      </c>
      <c r="B55" s="83" t="s">
        <v>120</v>
      </c>
      <c r="C55" s="60">
        <v>2022</v>
      </c>
      <c r="D55" s="60">
        <v>0.4</v>
      </c>
      <c r="E55" s="45">
        <v>115</v>
      </c>
      <c r="F55" s="60">
        <v>15</v>
      </c>
      <c r="G55" s="195">
        <v>138.34119000000001</v>
      </c>
      <c r="H55" s="143"/>
      <c r="I55" s="57"/>
      <c r="J55" s="58"/>
      <c r="L55" s="57"/>
      <c r="N55" s="52"/>
    </row>
    <row r="56" spans="1:14" ht="17.25" customHeight="1" x14ac:dyDescent="0.25">
      <c r="A56" s="194" t="s">
        <v>751</v>
      </c>
      <c r="B56" s="83" t="s">
        <v>684</v>
      </c>
      <c r="C56" s="60">
        <v>2022</v>
      </c>
      <c r="D56" s="60">
        <v>0.4</v>
      </c>
      <c r="E56" s="45">
        <v>122</v>
      </c>
      <c r="F56" s="60">
        <v>9</v>
      </c>
      <c r="G56" s="195">
        <v>36.312186666666669</v>
      </c>
      <c r="H56" s="143"/>
      <c r="I56" s="57"/>
      <c r="J56" s="58"/>
      <c r="L56" s="57"/>
      <c r="N56" s="52"/>
    </row>
    <row r="57" spans="1:14" ht="17.25" customHeight="1" x14ac:dyDescent="0.25">
      <c r="A57" s="194" t="s">
        <v>751</v>
      </c>
      <c r="B57" s="83" t="s">
        <v>684</v>
      </c>
      <c r="C57" s="60">
        <v>2022</v>
      </c>
      <c r="D57" s="60">
        <v>0.4</v>
      </c>
      <c r="E57" s="45"/>
      <c r="F57" s="60"/>
      <c r="G57" s="195">
        <v>36.312186666666669</v>
      </c>
      <c r="H57" s="143"/>
      <c r="I57" s="57"/>
      <c r="J57" s="58"/>
      <c r="L57" s="57"/>
      <c r="N57" s="52"/>
    </row>
    <row r="58" spans="1:14" ht="17.25" customHeight="1" x14ac:dyDescent="0.25">
      <c r="A58" s="194" t="s">
        <v>751</v>
      </c>
      <c r="B58" s="83" t="s">
        <v>684</v>
      </c>
      <c r="C58" s="60">
        <v>2022</v>
      </c>
      <c r="D58" s="60">
        <v>0.4</v>
      </c>
      <c r="E58" s="45"/>
      <c r="F58" s="60"/>
      <c r="G58" s="195">
        <v>36.312186666666669</v>
      </c>
      <c r="H58" s="143"/>
      <c r="I58" s="57"/>
      <c r="J58" s="58"/>
      <c r="L58" s="57"/>
      <c r="N58" s="52"/>
    </row>
    <row r="59" spans="1:14" ht="17.25" customHeight="1" x14ac:dyDescent="0.25">
      <c r="A59" s="194" t="s">
        <v>751</v>
      </c>
      <c r="B59" s="83" t="s">
        <v>571</v>
      </c>
      <c r="C59" s="60">
        <v>2022</v>
      </c>
      <c r="D59" s="60">
        <v>0.4</v>
      </c>
      <c r="E59" s="60">
        <v>191</v>
      </c>
      <c r="F59" s="60">
        <v>15</v>
      </c>
      <c r="G59" s="195">
        <v>128.04181</v>
      </c>
      <c r="H59" s="143"/>
      <c r="I59" s="57"/>
      <c r="J59" s="58"/>
      <c r="L59" s="57"/>
      <c r="N59" s="52"/>
    </row>
    <row r="60" spans="1:14" ht="17.25" customHeight="1" x14ac:dyDescent="0.25">
      <c r="A60" s="194" t="s">
        <v>750</v>
      </c>
      <c r="B60" s="83" t="s">
        <v>395</v>
      </c>
      <c r="C60" s="60">
        <v>2022</v>
      </c>
      <c r="D60" s="60">
        <v>0.4</v>
      </c>
      <c r="E60" s="60">
        <v>100</v>
      </c>
      <c r="F60" s="60">
        <v>50</v>
      </c>
      <c r="G60" s="195">
        <v>32.056235999999998</v>
      </c>
      <c r="H60" s="143"/>
      <c r="I60" s="57"/>
      <c r="J60" s="58"/>
      <c r="L60" s="57"/>
      <c r="N60" s="52"/>
    </row>
    <row r="61" spans="1:14" ht="17.25" customHeight="1" x14ac:dyDescent="0.25">
      <c r="A61" s="194" t="s">
        <v>750</v>
      </c>
      <c r="B61" s="83" t="s">
        <v>395</v>
      </c>
      <c r="C61" s="60">
        <v>2022</v>
      </c>
      <c r="D61" s="60">
        <v>0.4</v>
      </c>
      <c r="E61" s="60">
        <v>136</v>
      </c>
      <c r="F61" s="60">
        <v>50</v>
      </c>
      <c r="G61" s="195">
        <v>32.056235999999998</v>
      </c>
      <c r="H61" s="143"/>
      <c r="I61" s="57"/>
      <c r="J61" s="58"/>
      <c r="L61" s="57"/>
      <c r="N61" s="52"/>
    </row>
    <row r="62" spans="1:14" ht="17.25" customHeight="1" x14ac:dyDescent="0.25">
      <c r="A62" s="194" t="s">
        <v>751</v>
      </c>
      <c r="B62" s="83" t="s">
        <v>119</v>
      </c>
      <c r="C62" s="60">
        <v>2022</v>
      </c>
      <c r="D62" s="60">
        <v>0.4</v>
      </c>
      <c r="E62" s="60">
        <v>68</v>
      </c>
      <c r="F62" s="60">
        <v>22</v>
      </c>
      <c r="G62" s="195">
        <v>2.2922640000000003</v>
      </c>
      <c r="H62" s="143"/>
      <c r="I62" s="57"/>
      <c r="J62" s="58"/>
      <c r="L62" s="57"/>
      <c r="N62" s="52"/>
    </row>
    <row r="63" spans="1:14" ht="17.25" customHeight="1" x14ac:dyDescent="0.25">
      <c r="A63" s="194" t="s">
        <v>751</v>
      </c>
      <c r="B63" s="83" t="s">
        <v>119</v>
      </c>
      <c r="C63" s="60">
        <v>2022</v>
      </c>
      <c r="D63" s="60">
        <v>0.4</v>
      </c>
      <c r="E63" s="60"/>
      <c r="F63" s="60"/>
      <c r="G63" s="195">
        <v>2.2922640000000003</v>
      </c>
      <c r="H63" s="143"/>
      <c r="I63" s="57"/>
      <c r="J63" s="58"/>
      <c r="L63" s="57"/>
      <c r="N63" s="52"/>
    </row>
    <row r="64" spans="1:14" ht="17.25" customHeight="1" x14ac:dyDescent="0.25">
      <c r="A64" s="194" t="s">
        <v>751</v>
      </c>
      <c r="B64" s="83" t="s">
        <v>118</v>
      </c>
      <c r="C64" s="60">
        <v>2022</v>
      </c>
      <c r="D64" s="60">
        <v>0.4</v>
      </c>
      <c r="E64" s="60"/>
      <c r="F64" s="60"/>
      <c r="G64" s="195">
        <v>2.2922640000000003</v>
      </c>
      <c r="H64" s="143"/>
      <c r="I64" s="57"/>
      <c r="J64" s="58"/>
      <c r="L64" s="57"/>
      <c r="N64" s="52"/>
    </row>
    <row r="65" spans="1:14" ht="17.25" customHeight="1" x14ac:dyDescent="0.25">
      <c r="A65" s="194" t="s">
        <v>751</v>
      </c>
      <c r="B65" s="83" t="s">
        <v>117</v>
      </c>
      <c r="C65" s="60">
        <v>2022</v>
      </c>
      <c r="D65" s="60">
        <v>0.4</v>
      </c>
      <c r="E65" s="60"/>
      <c r="F65" s="60"/>
      <c r="G65" s="195">
        <v>2.2922640000000003</v>
      </c>
      <c r="H65" s="143"/>
      <c r="I65" s="57"/>
      <c r="J65" s="58"/>
      <c r="L65" s="57"/>
      <c r="N65" s="52"/>
    </row>
    <row r="66" spans="1:14" ht="17.25" customHeight="1" x14ac:dyDescent="0.25">
      <c r="A66" s="194" t="s">
        <v>751</v>
      </c>
      <c r="B66" s="83" t="s">
        <v>393</v>
      </c>
      <c r="C66" s="60">
        <v>2022</v>
      </c>
      <c r="D66" s="60">
        <v>0.4</v>
      </c>
      <c r="E66" s="60"/>
      <c r="F66" s="60"/>
      <c r="G66" s="195">
        <v>2.2922640000000003</v>
      </c>
      <c r="H66" s="143"/>
      <c r="I66" s="57"/>
      <c r="J66" s="58"/>
      <c r="L66" s="57"/>
      <c r="N66" s="52"/>
    </row>
    <row r="67" spans="1:14" ht="17.25" customHeight="1" x14ac:dyDescent="0.25">
      <c r="A67" s="194" t="s">
        <v>751</v>
      </c>
      <c r="B67" s="83" t="s">
        <v>391</v>
      </c>
      <c r="C67" s="60">
        <v>2022</v>
      </c>
      <c r="D67" s="60">
        <v>0.4</v>
      </c>
      <c r="E67" s="45">
        <v>41</v>
      </c>
      <c r="F67" s="60">
        <v>5</v>
      </c>
      <c r="G67" s="195">
        <v>91.919070000000005</v>
      </c>
      <c r="H67" s="143"/>
      <c r="I67" s="57"/>
      <c r="J67" s="58"/>
      <c r="L67" s="57"/>
      <c r="N67" s="52"/>
    </row>
    <row r="68" spans="1:14" ht="17.25" customHeight="1" x14ac:dyDescent="0.25">
      <c r="A68" s="194" t="s">
        <v>750</v>
      </c>
      <c r="B68" s="83" t="s">
        <v>570</v>
      </c>
      <c r="C68" s="60">
        <v>2022</v>
      </c>
      <c r="D68" s="60">
        <v>0.4</v>
      </c>
      <c r="E68" s="45">
        <v>448</v>
      </c>
      <c r="F68" s="60">
        <v>30</v>
      </c>
      <c r="G68" s="195">
        <v>648.02440999999999</v>
      </c>
      <c r="H68" s="143"/>
      <c r="I68" s="57"/>
      <c r="J68" s="58"/>
      <c r="L68" s="57"/>
      <c r="N68" s="52"/>
    </row>
    <row r="69" spans="1:14" ht="17.25" customHeight="1" x14ac:dyDescent="0.25">
      <c r="A69" s="194" t="s">
        <v>750</v>
      </c>
      <c r="B69" s="83" t="s">
        <v>115</v>
      </c>
      <c r="C69" s="60">
        <v>2022</v>
      </c>
      <c r="D69" s="60">
        <v>0.4</v>
      </c>
      <c r="E69" s="45"/>
      <c r="F69" s="60"/>
      <c r="G69" s="195">
        <v>648.02440999999999</v>
      </c>
      <c r="H69" s="143"/>
      <c r="I69" s="57"/>
      <c r="J69" s="58"/>
      <c r="L69" s="57"/>
      <c r="N69" s="52"/>
    </row>
    <row r="70" spans="1:14" ht="17.25" customHeight="1" x14ac:dyDescent="0.25">
      <c r="A70" s="194" t="s">
        <v>751</v>
      </c>
      <c r="B70" s="83" t="s">
        <v>114</v>
      </c>
      <c r="C70" s="60">
        <v>2022</v>
      </c>
      <c r="D70" s="45">
        <v>0.4</v>
      </c>
      <c r="E70" s="45">
        <v>123</v>
      </c>
      <c r="F70" s="60">
        <v>15</v>
      </c>
      <c r="G70" s="195">
        <v>56.564900000000002</v>
      </c>
      <c r="H70" s="143"/>
      <c r="I70" s="57"/>
      <c r="J70" s="58"/>
      <c r="L70" s="57"/>
      <c r="N70" s="52"/>
    </row>
    <row r="71" spans="1:14" ht="17.25" customHeight="1" x14ac:dyDescent="0.25">
      <c r="A71" s="194" t="s">
        <v>751</v>
      </c>
      <c r="B71" s="83" t="s">
        <v>113</v>
      </c>
      <c r="C71" s="60">
        <v>2022</v>
      </c>
      <c r="D71" s="45">
        <v>0.4</v>
      </c>
      <c r="E71" s="45">
        <v>46</v>
      </c>
      <c r="F71" s="60">
        <v>15</v>
      </c>
      <c r="G71" s="195">
        <v>8.4797000000000011</v>
      </c>
      <c r="H71" s="143"/>
      <c r="I71" s="57"/>
      <c r="J71" s="58"/>
      <c r="L71" s="57"/>
      <c r="N71" s="52"/>
    </row>
    <row r="72" spans="1:14" ht="17.25" customHeight="1" x14ac:dyDescent="0.25">
      <c r="A72" s="194" t="s">
        <v>750</v>
      </c>
      <c r="B72" s="83" t="s">
        <v>112</v>
      </c>
      <c r="C72" s="60">
        <v>2022</v>
      </c>
      <c r="D72" s="45">
        <v>0.4</v>
      </c>
      <c r="E72" s="45">
        <v>371</v>
      </c>
      <c r="F72" s="60">
        <v>15</v>
      </c>
      <c r="G72" s="195">
        <v>581.23789999999997</v>
      </c>
      <c r="H72" s="143"/>
      <c r="I72" s="57"/>
      <c r="J72" s="58"/>
      <c r="L72" s="57"/>
      <c r="N72" s="52"/>
    </row>
    <row r="73" spans="1:14" ht="17.25" customHeight="1" x14ac:dyDescent="0.25">
      <c r="A73" s="194" t="s">
        <v>751</v>
      </c>
      <c r="B73" s="83" t="s">
        <v>569</v>
      </c>
      <c r="C73" s="60">
        <v>2022</v>
      </c>
      <c r="D73" s="45">
        <v>0.4</v>
      </c>
      <c r="E73" s="45">
        <v>42</v>
      </c>
      <c r="F73" s="60">
        <v>30</v>
      </c>
      <c r="G73" s="195">
        <v>45.409845000000004</v>
      </c>
      <c r="H73" s="143"/>
      <c r="I73" s="57"/>
      <c r="J73" s="58"/>
      <c r="L73" s="57"/>
      <c r="N73" s="52"/>
    </row>
    <row r="74" spans="1:14" ht="17.25" customHeight="1" x14ac:dyDescent="0.25">
      <c r="A74" s="194" t="s">
        <v>751</v>
      </c>
      <c r="B74" s="83" t="s">
        <v>569</v>
      </c>
      <c r="C74" s="60">
        <v>2022</v>
      </c>
      <c r="D74" s="45">
        <v>0.4</v>
      </c>
      <c r="E74" s="45"/>
      <c r="F74" s="60"/>
      <c r="G74" s="195">
        <v>45.409845000000004</v>
      </c>
      <c r="H74" s="143"/>
      <c r="I74" s="57"/>
      <c r="J74" s="58"/>
      <c r="L74" s="57"/>
      <c r="N74" s="52"/>
    </row>
    <row r="75" spans="1:14" ht="17.25" customHeight="1" x14ac:dyDescent="0.25">
      <c r="A75" s="194" t="s">
        <v>751</v>
      </c>
      <c r="B75" s="83" t="s">
        <v>111</v>
      </c>
      <c r="C75" s="60">
        <v>2022</v>
      </c>
      <c r="D75" s="45">
        <v>0.4</v>
      </c>
      <c r="E75" s="45">
        <v>56</v>
      </c>
      <c r="F75" s="60">
        <v>15</v>
      </c>
      <c r="G75" s="195">
        <v>11.063030000000001</v>
      </c>
      <c r="H75" s="143"/>
      <c r="I75" s="57"/>
      <c r="J75" s="58"/>
      <c r="L75" s="57"/>
      <c r="N75" s="52"/>
    </row>
    <row r="76" spans="1:14" ht="17.25" customHeight="1" x14ac:dyDescent="0.25">
      <c r="A76" s="194" t="s">
        <v>751</v>
      </c>
      <c r="B76" s="83" t="s">
        <v>110</v>
      </c>
      <c r="C76" s="60">
        <v>2022</v>
      </c>
      <c r="D76" s="45">
        <v>0.4</v>
      </c>
      <c r="E76" s="45">
        <v>147</v>
      </c>
      <c r="F76" s="60">
        <v>15</v>
      </c>
      <c r="G76" s="195">
        <v>258.78611000000001</v>
      </c>
      <c r="H76" s="143"/>
      <c r="I76" s="57"/>
      <c r="J76" s="58"/>
      <c r="L76" s="57"/>
      <c r="N76" s="52"/>
    </row>
    <row r="77" spans="1:14" ht="17.25" customHeight="1" x14ac:dyDescent="0.25">
      <c r="A77" s="194" t="s">
        <v>751</v>
      </c>
      <c r="B77" s="83" t="s">
        <v>109</v>
      </c>
      <c r="C77" s="60">
        <v>2022</v>
      </c>
      <c r="D77" s="45">
        <v>0.4</v>
      </c>
      <c r="E77" s="45">
        <v>100</v>
      </c>
      <c r="F77" s="60">
        <v>15</v>
      </c>
      <c r="G77" s="195">
        <v>22.181999999999999</v>
      </c>
      <c r="H77" s="143"/>
      <c r="I77" s="57"/>
      <c r="J77" s="58"/>
      <c r="L77" s="57"/>
      <c r="N77" s="52"/>
    </row>
    <row r="78" spans="1:14" ht="17.25" customHeight="1" x14ac:dyDescent="0.25">
      <c r="A78" s="194" t="s">
        <v>751</v>
      </c>
      <c r="B78" s="83" t="s">
        <v>394</v>
      </c>
      <c r="C78" s="60">
        <v>2022</v>
      </c>
      <c r="D78" s="60">
        <v>0.4</v>
      </c>
      <c r="E78" s="60">
        <v>57.5</v>
      </c>
      <c r="F78" s="60">
        <v>5</v>
      </c>
      <c r="G78" s="195">
        <v>124.84019000000001</v>
      </c>
      <c r="H78" s="143"/>
      <c r="I78" s="57"/>
      <c r="J78" s="58"/>
      <c r="L78" s="57"/>
      <c r="N78" s="52"/>
    </row>
    <row r="79" spans="1:14" ht="17.25" customHeight="1" x14ac:dyDescent="0.25">
      <c r="A79" s="194" t="s">
        <v>751</v>
      </c>
      <c r="B79" s="83" t="s">
        <v>568</v>
      </c>
      <c r="C79" s="60">
        <v>2022</v>
      </c>
      <c r="D79" s="60">
        <v>0.4</v>
      </c>
      <c r="E79" s="60">
        <v>104</v>
      </c>
      <c r="F79" s="60">
        <v>30</v>
      </c>
      <c r="G79" s="195">
        <v>35.048221666666663</v>
      </c>
      <c r="H79" s="143"/>
      <c r="I79" s="57"/>
      <c r="J79" s="58"/>
      <c r="L79" s="57"/>
      <c r="N79" s="52"/>
    </row>
    <row r="80" spans="1:14" ht="17.25" customHeight="1" x14ac:dyDescent="0.25">
      <c r="A80" s="194" t="s">
        <v>751</v>
      </c>
      <c r="B80" s="83" t="s">
        <v>568</v>
      </c>
      <c r="C80" s="60">
        <v>2022</v>
      </c>
      <c r="D80" s="60">
        <v>0.4</v>
      </c>
      <c r="E80" s="60"/>
      <c r="F80" s="60"/>
      <c r="G80" s="195">
        <v>35.048221666666663</v>
      </c>
      <c r="H80" s="143"/>
      <c r="I80" s="57"/>
      <c r="J80" s="58"/>
      <c r="L80" s="57"/>
      <c r="N80" s="52"/>
    </row>
    <row r="81" spans="1:16" ht="17.25" customHeight="1" x14ac:dyDescent="0.25">
      <c r="A81" s="194" t="s">
        <v>751</v>
      </c>
      <c r="B81" s="83" t="s">
        <v>568</v>
      </c>
      <c r="C81" s="60">
        <v>2022</v>
      </c>
      <c r="D81" s="60">
        <v>0.4</v>
      </c>
      <c r="E81" s="60"/>
      <c r="F81" s="60"/>
      <c r="G81" s="195">
        <v>35.048221666666663</v>
      </c>
      <c r="H81" s="143"/>
      <c r="I81" s="57"/>
      <c r="J81" s="58"/>
      <c r="L81" s="57"/>
      <c r="N81" s="52"/>
    </row>
    <row r="82" spans="1:16" ht="17.25" customHeight="1" x14ac:dyDescent="0.25">
      <c r="A82" s="194" t="s">
        <v>751</v>
      </c>
      <c r="B82" s="83" t="s">
        <v>568</v>
      </c>
      <c r="C82" s="60">
        <v>2022</v>
      </c>
      <c r="D82" s="60">
        <v>0.4</v>
      </c>
      <c r="E82" s="60"/>
      <c r="F82" s="60"/>
      <c r="G82" s="195">
        <v>35.048221666666663</v>
      </c>
      <c r="H82" s="143"/>
      <c r="I82" s="57"/>
      <c r="J82" s="58"/>
      <c r="L82" s="57"/>
      <c r="N82" s="52"/>
    </row>
    <row r="83" spans="1:16" ht="17.25" customHeight="1" x14ac:dyDescent="0.25">
      <c r="A83" s="194" t="s">
        <v>751</v>
      </c>
      <c r="B83" s="83" t="s">
        <v>568</v>
      </c>
      <c r="C83" s="60">
        <v>2022</v>
      </c>
      <c r="D83" s="60">
        <v>0.4</v>
      </c>
      <c r="E83" s="60"/>
      <c r="F83" s="60"/>
      <c r="G83" s="195">
        <v>35.048221666666663</v>
      </c>
      <c r="H83" s="143"/>
      <c r="I83" s="57"/>
      <c r="J83" s="58"/>
      <c r="L83" s="57"/>
      <c r="N83" s="52"/>
    </row>
    <row r="84" spans="1:16" ht="17.25" customHeight="1" x14ac:dyDescent="0.25">
      <c r="A84" s="194" t="s">
        <v>751</v>
      </c>
      <c r="B84" s="83" t="s">
        <v>568</v>
      </c>
      <c r="C84" s="60">
        <v>2022</v>
      </c>
      <c r="D84" s="60">
        <v>0.4</v>
      </c>
      <c r="E84" s="60"/>
      <c r="F84" s="60"/>
      <c r="G84" s="195">
        <v>35.048221666666663</v>
      </c>
      <c r="H84" s="143"/>
      <c r="I84" s="57"/>
      <c r="J84" s="58"/>
      <c r="L84" s="57"/>
      <c r="N84" s="52"/>
    </row>
    <row r="85" spans="1:16" ht="17.25" customHeight="1" x14ac:dyDescent="0.25">
      <c r="A85" s="194" t="s">
        <v>751</v>
      </c>
      <c r="B85" s="83" t="s">
        <v>108</v>
      </c>
      <c r="C85" s="60">
        <v>2022</v>
      </c>
      <c r="D85" s="60">
        <v>0.4</v>
      </c>
      <c r="E85" s="60">
        <v>79</v>
      </c>
      <c r="F85" s="60">
        <v>15</v>
      </c>
      <c r="G85" s="195">
        <v>145.10855000000001</v>
      </c>
      <c r="H85" s="143"/>
      <c r="I85" s="57"/>
      <c r="J85" s="58"/>
      <c r="L85" s="57"/>
      <c r="N85" s="52"/>
    </row>
    <row r="86" spans="1:16" ht="17.25" customHeight="1" x14ac:dyDescent="0.25">
      <c r="A86" s="194" t="s">
        <v>750</v>
      </c>
      <c r="B86" s="83" t="s">
        <v>107</v>
      </c>
      <c r="C86" s="60">
        <v>2022</v>
      </c>
      <c r="D86" s="60">
        <v>0.4</v>
      </c>
      <c r="E86" s="60">
        <v>552</v>
      </c>
      <c r="F86" s="60">
        <v>60</v>
      </c>
      <c r="G86" s="195">
        <v>154.34442249999998</v>
      </c>
      <c r="H86" s="143"/>
      <c r="I86" s="57"/>
      <c r="J86" s="58"/>
      <c r="L86" s="57"/>
      <c r="N86" s="52"/>
    </row>
    <row r="87" spans="1:16" ht="17.25" customHeight="1" x14ac:dyDescent="0.25">
      <c r="A87" s="194" t="s">
        <v>750</v>
      </c>
      <c r="B87" s="83" t="s">
        <v>106</v>
      </c>
      <c r="C87" s="60">
        <v>2022</v>
      </c>
      <c r="D87" s="60">
        <v>0.4</v>
      </c>
      <c r="E87" s="60"/>
      <c r="F87" s="60"/>
      <c r="G87" s="195">
        <v>154.34442249999998</v>
      </c>
      <c r="H87" s="143"/>
      <c r="I87" s="57"/>
      <c r="J87" s="58"/>
      <c r="L87" s="57"/>
      <c r="N87" s="52"/>
    </row>
    <row r="88" spans="1:16" ht="17.25" customHeight="1" x14ac:dyDescent="0.25">
      <c r="A88" s="194" t="s">
        <v>750</v>
      </c>
      <c r="B88" s="83" t="s">
        <v>105</v>
      </c>
      <c r="C88" s="60">
        <v>2022</v>
      </c>
      <c r="D88" s="60">
        <v>0.4</v>
      </c>
      <c r="E88" s="60"/>
      <c r="F88" s="60"/>
      <c r="G88" s="195">
        <v>154.34442249999998</v>
      </c>
      <c r="H88" s="143"/>
      <c r="I88" s="57"/>
      <c r="J88" s="58"/>
      <c r="L88" s="57"/>
      <c r="N88" s="52"/>
    </row>
    <row r="89" spans="1:16" ht="17.25" customHeight="1" x14ac:dyDescent="0.25">
      <c r="A89" s="194" t="s">
        <v>750</v>
      </c>
      <c r="B89" s="83" t="s">
        <v>104</v>
      </c>
      <c r="C89" s="60">
        <v>2022</v>
      </c>
      <c r="D89" s="60">
        <v>0.4</v>
      </c>
      <c r="E89" s="60"/>
      <c r="F89" s="60"/>
      <c r="G89" s="195">
        <v>154.34442249999998</v>
      </c>
      <c r="H89" s="143"/>
      <c r="I89" s="57"/>
      <c r="J89" s="58"/>
      <c r="L89" s="57"/>
      <c r="N89" s="52"/>
    </row>
    <row r="90" spans="1:16" ht="17.25" customHeight="1" x14ac:dyDescent="0.25">
      <c r="A90" s="196" t="s">
        <v>751</v>
      </c>
      <c r="B90" s="83" t="s">
        <v>103</v>
      </c>
      <c r="C90" s="45">
        <v>2022</v>
      </c>
      <c r="D90" s="45">
        <v>0.4</v>
      </c>
      <c r="E90" s="45">
        <v>45</v>
      </c>
      <c r="F90" s="45">
        <v>15</v>
      </c>
      <c r="G90" s="197">
        <v>28.080620000000003</v>
      </c>
      <c r="H90" s="143"/>
      <c r="I90" s="57"/>
      <c r="J90" s="58"/>
      <c r="L90" s="57"/>
      <c r="N90" s="52"/>
    </row>
    <row r="91" spans="1:16" ht="17.25" customHeight="1" x14ac:dyDescent="0.25">
      <c r="A91" s="196" t="s">
        <v>750</v>
      </c>
      <c r="B91" s="83" t="s">
        <v>102</v>
      </c>
      <c r="C91" s="45">
        <v>2022</v>
      </c>
      <c r="D91" s="45">
        <v>0.4</v>
      </c>
      <c r="E91" s="45">
        <v>95</v>
      </c>
      <c r="F91" s="45">
        <v>15</v>
      </c>
      <c r="G91" s="197">
        <v>36.26896</v>
      </c>
      <c r="H91" s="143"/>
      <c r="I91" s="57"/>
      <c r="J91" s="58"/>
      <c r="L91" s="57"/>
      <c r="N91" s="52"/>
    </row>
    <row r="92" spans="1:16" ht="17.25" customHeight="1" thickBot="1" x14ac:dyDescent="0.3">
      <c r="A92" s="196" t="s">
        <v>751</v>
      </c>
      <c r="B92" s="83" t="s">
        <v>686</v>
      </c>
      <c r="C92" s="45">
        <v>2022</v>
      </c>
      <c r="D92" s="45">
        <v>0.4</v>
      </c>
      <c r="E92" s="45">
        <v>306</v>
      </c>
      <c r="F92" s="45">
        <v>8</v>
      </c>
      <c r="G92" s="197">
        <v>153.31413000000001</v>
      </c>
      <c r="H92" s="143"/>
      <c r="I92" s="57"/>
      <c r="J92" s="58"/>
      <c r="L92" s="57"/>
      <c r="N92" s="52"/>
    </row>
    <row r="93" spans="1:16" ht="17.25" customHeight="1" thickBot="1" x14ac:dyDescent="0.3">
      <c r="A93" s="196" t="s">
        <v>750</v>
      </c>
      <c r="B93" s="83" t="s">
        <v>686</v>
      </c>
      <c r="C93" s="45">
        <v>2022</v>
      </c>
      <c r="D93" s="45">
        <v>6</v>
      </c>
      <c r="E93" s="45">
        <v>332</v>
      </c>
      <c r="F93" s="45">
        <v>376</v>
      </c>
      <c r="G93" s="197">
        <v>19.300729787234044</v>
      </c>
      <c r="H93" s="143"/>
      <c r="I93" s="57"/>
      <c r="J93" s="58"/>
      <c r="L93" s="162">
        <f>SUBTOTAL(9,F14:F132)</f>
        <v>4214.3999999999996</v>
      </c>
      <c r="M93" s="163"/>
      <c r="N93" s="164"/>
      <c r="O93" s="163"/>
      <c r="P93" s="165"/>
    </row>
    <row r="94" spans="1:16" ht="17.25" customHeight="1" x14ac:dyDescent="0.25">
      <c r="A94" s="196" t="s">
        <v>751</v>
      </c>
      <c r="B94" s="83" t="s">
        <v>101</v>
      </c>
      <c r="C94" s="45">
        <v>2022</v>
      </c>
      <c r="D94" s="45">
        <v>0.4</v>
      </c>
      <c r="E94" s="45"/>
      <c r="F94" s="45">
        <v>15</v>
      </c>
      <c r="G94" s="197">
        <v>8.8737300000000001</v>
      </c>
      <c r="H94" s="143"/>
      <c r="I94" s="57"/>
      <c r="J94" s="58"/>
      <c r="L94" s="57"/>
      <c r="N94" s="52"/>
    </row>
    <row r="95" spans="1:16" ht="17.25" customHeight="1" x14ac:dyDescent="0.25">
      <c r="A95" s="196" t="s">
        <v>750</v>
      </c>
      <c r="B95" s="83" t="s">
        <v>100</v>
      </c>
      <c r="C95" s="45">
        <v>2022</v>
      </c>
      <c r="D95" s="45">
        <v>0.4</v>
      </c>
      <c r="E95" s="45">
        <v>384</v>
      </c>
      <c r="F95" s="45">
        <v>60</v>
      </c>
      <c r="G95" s="197">
        <v>69.66122</v>
      </c>
      <c r="H95" s="143"/>
      <c r="I95" s="57"/>
      <c r="J95" s="58"/>
      <c r="L95" s="57"/>
      <c r="N95" s="52"/>
    </row>
    <row r="96" spans="1:16" ht="17.25" customHeight="1" x14ac:dyDescent="0.25">
      <c r="A96" s="194" t="s">
        <v>750</v>
      </c>
      <c r="B96" s="61" t="s">
        <v>99</v>
      </c>
      <c r="C96" s="60">
        <v>2022</v>
      </c>
      <c r="D96" s="60">
        <v>0.4</v>
      </c>
      <c r="E96" s="45"/>
      <c r="F96" s="45"/>
      <c r="G96" s="195">
        <v>69.66122</v>
      </c>
      <c r="H96" s="143"/>
      <c r="I96" s="57"/>
      <c r="J96" s="58"/>
      <c r="L96" s="57"/>
      <c r="N96" s="52"/>
    </row>
    <row r="97" spans="1:14" ht="17.25" customHeight="1" x14ac:dyDescent="0.25">
      <c r="A97" s="194" t="s">
        <v>750</v>
      </c>
      <c r="B97" s="61" t="s">
        <v>99</v>
      </c>
      <c r="C97" s="60">
        <v>2022</v>
      </c>
      <c r="D97" s="60">
        <v>0.4</v>
      </c>
      <c r="E97" s="60">
        <v>150</v>
      </c>
      <c r="F97" s="60">
        <v>15</v>
      </c>
      <c r="G97" s="195">
        <v>261.86140999999998</v>
      </c>
      <c r="H97" s="143"/>
      <c r="I97" s="57"/>
      <c r="J97" s="58"/>
      <c r="L97" s="57"/>
      <c r="N97" s="52"/>
    </row>
    <row r="98" spans="1:14" ht="17.25" customHeight="1" x14ac:dyDescent="0.25">
      <c r="A98" s="194" t="s">
        <v>751</v>
      </c>
      <c r="B98" s="61" t="s">
        <v>98</v>
      </c>
      <c r="C98" s="60">
        <v>2022</v>
      </c>
      <c r="D98" s="60">
        <v>0.4</v>
      </c>
      <c r="E98" s="60">
        <v>105</v>
      </c>
      <c r="F98" s="60">
        <v>30</v>
      </c>
      <c r="G98" s="195">
        <v>111.149305</v>
      </c>
      <c r="H98" s="143"/>
      <c r="I98" s="57"/>
      <c r="J98" s="58"/>
      <c r="L98" s="57"/>
      <c r="N98" s="52"/>
    </row>
    <row r="99" spans="1:14" ht="17.25" customHeight="1" x14ac:dyDescent="0.25">
      <c r="A99" s="194" t="s">
        <v>751</v>
      </c>
      <c r="B99" s="61" t="s">
        <v>97</v>
      </c>
      <c r="C99" s="60">
        <v>2022</v>
      </c>
      <c r="D99" s="60">
        <v>0.4</v>
      </c>
      <c r="E99" s="60"/>
      <c r="F99" s="60"/>
      <c r="G99" s="195">
        <v>111.149305</v>
      </c>
      <c r="H99" s="143"/>
      <c r="I99" s="57"/>
      <c r="J99" s="58"/>
      <c r="L99" s="57"/>
      <c r="N99" s="52"/>
    </row>
    <row r="100" spans="1:14" ht="17.25" customHeight="1" x14ac:dyDescent="0.25">
      <c r="A100" s="194" t="s">
        <v>750</v>
      </c>
      <c r="B100" s="61" t="s">
        <v>98</v>
      </c>
      <c r="C100" s="60">
        <v>2022</v>
      </c>
      <c r="D100" s="60">
        <v>10</v>
      </c>
      <c r="E100" s="60">
        <v>692</v>
      </c>
      <c r="F100" s="60">
        <v>93</v>
      </c>
      <c r="G100" s="195">
        <v>164.16344838709679</v>
      </c>
      <c r="H100" s="143"/>
      <c r="I100" s="57"/>
      <c r="J100" s="58"/>
      <c r="L100" s="57"/>
      <c r="N100" s="52"/>
    </row>
    <row r="101" spans="1:14" ht="17.25" customHeight="1" x14ac:dyDescent="0.25">
      <c r="A101" s="194" t="s">
        <v>750</v>
      </c>
      <c r="B101" s="61" t="s">
        <v>97</v>
      </c>
      <c r="C101" s="60">
        <v>2022</v>
      </c>
      <c r="D101" s="60">
        <v>10</v>
      </c>
      <c r="E101" s="60"/>
      <c r="F101" s="60"/>
      <c r="G101" s="195">
        <v>164.16344838709679</v>
      </c>
      <c r="H101" s="143"/>
      <c r="I101" s="57"/>
      <c r="J101" s="58"/>
      <c r="L101" s="57"/>
      <c r="N101" s="52"/>
    </row>
    <row r="102" spans="1:14" ht="17.25" customHeight="1" x14ac:dyDescent="0.25">
      <c r="A102" s="194" t="s">
        <v>751</v>
      </c>
      <c r="B102" s="61" t="s">
        <v>96</v>
      </c>
      <c r="C102" s="60">
        <v>2022</v>
      </c>
      <c r="D102" s="60">
        <v>0.4</v>
      </c>
      <c r="E102" s="60">
        <v>64</v>
      </c>
      <c r="F102" s="60">
        <v>15</v>
      </c>
      <c r="G102" s="195">
        <v>21.712240000000001</v>
      </c>
      <c r="H102" s="143"/>
      <c r="I102" s="57"/>
      <c r="J102" s="58"/>
      <c r="L102" s="57"/>
      <c r="N102" s="52"/>
    </row>
    <row r="103" spans="1:14" ht="17.25" customHeight="1" x14ac:dyDescent="0.25">
      <c r="A103" s="194" t="s">
        <v>751</v>
      </c>
      <c r="B103" s="61" t="s">
        <v>95</v>
      </c>
      <c r="C103" s="60">
        <v>2022</v>
      </c>
      <c r="D103" s="60">
        <v>0.4</v>
      </c>
      <c r="E103" s="60">
        <v>47</v>
      </c>
      <c r="F103" s="60">
        <v>15</v>
      </c>
      <c r="G103" s="195">
        <v>17.27572</v>
      </c>
      <c r="H103" s="143"/>
      <c r="I103" s="57"/>
      <c r="J103" s="58"/>
      <c r="L103" s="57"/>
      <c r="N103" s="52"/>
    </row>
    <row r="104" spans="1:14" ht="17.25" customHeight="1" x14ac:dyDescent="0.25">
      <c r="A104" s="194" t="s">
        <v>750</v>
      </c>
      <c r="B104" s="61" t="s">
        <v>96</v>
      </c>
      <c r="C104" s="60">
        <v>2022</v>
      </c>
      <c r="D104" s="60">
        <v>0.4</v>
      </c>
      <c r="E104" s="60">
        <v>323</v>
      </c>
      <c r="F104" s="60">
        <v>185</v>
      </c>
      <c r="G104" s="195">
        <v>25.961518378378379</v>
      </c>
      <c r="H104" s="143"/>
      <c r="I104" s="57"/>
      <c r="J104" s="58"/>
      <c r="L104" s="57"/>
      <c r="N104" s="52"/>
    </row>
    <row r="105" spans="1:14" ht="17.25" customHeight="1" x14ac:dyDescent="0.25">
      <c r="A105" s="194" t="s">
        <v>750</v>
      </c>
      <c r="B105" s="61" t="s">
        <v>95</v>
      </c>
      <c r="C105" s="60">
        <v>2022</v>
      </c>
      <c r="D105" s="60">
        <v>0.4</v>
      </c>
      <c r="E105" s="60"/>
      <c r="F105" s="60"/>
      <c r="G105" s="195">
        <v>25.961518378378379</v>
      </c>
      <c r="H105" s="143"/>
      <c r="I105" s="57"/>
      <c r="J105" s="58"/>
      <c r="L105" s="57"/>
      <c r="N105" s="52"/>
    </row>
    <row r="106" spans="1:14" ht="17.25" customHeight="1" x14ac:dyDescent="0.25">
      <c r="A106" s="194" t="s">
        <v>750</v>
      </c>
      <c r="B106" s="61" t="s">
        <v>94</v>
      </c>
      <c r="C106" s="60">
        <v>2022</v>
      </c>
      <c r="D106" s="60">
        <v>0.4</v>
      </c>
      <c r="E106" s="60"/>
      <c r="F106" s="60"/>
      <c r="G106" s="195">
        <v>8.6538394594594585</v>
      </c>
      <c r="H106" s="143"/>
      <c r="I106" s="57"/>
      <c r="J106" s="58"/>
      <c r="L106" s="57"/>
      <c r="N106" s="52"/>
    </row>
    <row r="107" spans="1:14" ht="17.25" customHeight="1" x14ac:dyDescent="0.25">
      <c r="A107" s="194" t="s">
        <v>751</v>
      </c>
      <c r="B107" s="61" t="s">
        <v>96</v>
      </c>
      <c r="C107" s="60">
        <v>2022</v>
      </c>
      <c r="D107" s="60">
        <v>10</v>
      </c>
      <c r="E107" s="60">
        <v>303</v>
      </c>
      <c r="F107" s="60">
        <v>232.5</v>
      </c>
      <c r="G107" s="195">
        <v>50.682601935483866</v>
      </c>
      <c r="H107" s="143"/>
      <c r="I107" s="57"/>
      <c r="J107" s="58"/>
      <c r="L107" s="57"/>
      <c r="N107" s="52"/>
    </row>
    <row r="108" spans="1:14" ht="17.25" customHeight="1" x14ac:dyDescent="0.25">
      <c r="A108" s="194" t="s">
        <v>751</v>
      </c>
      <c r="B108" s="61" t="s">
        <v>95</v>
      </c>
      <c r="C108" s="60">
        <v>2022</v>
      </c>
      <c r="D108" s="60">
        <v>10</v>
      </c>
      <c r="E108" s="60"/>
      <c r="F108" s="60"/>
      <c r="G108" s="195">
        <v>50.682601935483866</v>
      </c>
      <c r="H108" s="143"/>
      <c r="I108" s="57"/>
      <c r="J108" s="58"/>
      <c r="L108" s="57"/>
      <c r="N108" s="52"/>
    </row>
    <row r="109" spans="1:14" ht="17.25" customHeight="1" x14ac:dyDescent="0.25">
      <c r="A109" s="194" t="s">
        <v>751</v>
      </c>
      <c r="B109" s="61" t="s">
        <v>94</v>
      </c>
      <c r="C109" s="60">
        <v>2022</v>
      </c>
      <c r="D109" s="60">
        <v>10</v>
      </c>
      <c r="E109" s="60"/>
      <c r="F109" s="60"/>
      <c r="G109" s="195">
        <v>16.894200645161288</v>
      </c>
      <c r="H109" s="143"/>
      <c r="I109" s="57"/>
      <c r="J109" s="58"/>
      <c r="L109" s="57"/>
      <c r="N109" s="52"/>
    </row>
    <row r="110" spans="1:14" ht="17.25" customHeight="1" x14ac:dyDescent="0.25">
      <c r="A110" s="194" t="s">
        <v>750</v>
      </c>
      <c r="B110" s="61" t="s">
        <v>572</v>
      </c>
      <c r="C110" s="60">
        <v>2022</v>
      </c>
      <c r="D110" s="60">
        <v>0.4</v>
      </c>
      <c r="E110" s="60">
        <v>117</v>
      </c>
      <c r="F110" s="60">
        <v>80</v>
      </c>
      <c r="G110" s="195">
        <v>213.61079000000001</v>
      </c>
      <c r="H110" s="57" t="s">
        <v>711</v>
      </c>
      <c r="J110" s="58"/>
      <c r="L110" s="57"/>
      <c r="N110" s="52"/>
    </row>
    <row r="111" spans="1:14" ht="17.25" customHeight="1" x14ac:dyDescent="0.25">
      <c r="A111" s="194" t="s">
        <v>750</v>
      </c>
      <c r="B111" s="61" t="s">
        <v>395</v>
      </c>
      <c r="C111" s="60">
        <v>2022</v>
      </c>
      <c r="D111" s="60">
        <v>0.4</v>
      </c>
      <c r="E111" s="60">
        <v>236</v>
      </c>
      <c r="F111" s="60">
        <v>100</v>
      </c>
      <c r="G111" s="195">
        <v>106.85411999999999</v>
      </c>
      <c r="H111" s="143"/>
      <c r="I111" s="57"/>
      <c r="J111" s="58"/>
      <c r="L111" s="57"/>
      <c r="N111" s="52"/>
    </row>
    <row r="112" spans="1:14" ht="17.25" customHeight="1" x14ac:dyDescent="0.25">
      <c r="A112" s="194" t="s">
        <v>750</v>
      </c>
      <c r="B112" s="61" t="s">
        <v>394</v>
      </c>
      <c r="C112" s="60">
        <v>2022</v>
      </c>
      <c r="D112" s="60">
        <v>0.4</v>
      </c>
      <c r="E112" s="60"/>
      <c r="F112" s="60"/>
      <c r="G112" s="195">
        <v>42.741647999999991</v>
      </c>
      <c r="H112" s="143"/>
      <c r="I112" s="57"/>
      <c r="J112" s="58"/>
      <c r="L112" s="57"/>
      <c r="N112" s="52"/>
    </row>
    <row r="113" spans="1:14" ht="17.25" customHeight="1" x14ac:dyDescent="0.25">
      <c r="A113" s="194" t="s">
        <v>751</v>
      </c>
      <c r="B113" s="61" t="s">
        <v>394</v>
      </c>
      <c r="C113" s="60">
        <v>2022</v>
      </c>
      <c r="D113" s="60">
        <v>0.4</v>
      </c>
      <c r="E113" s="60">
        <v>85</v>
      </c>
      <c r="F113" s="60">
        <v>20</v>
      </c>
      <c r="G113" s="195">
        <v>51.329180000000001</v>
      </c>
      <c r="H113" s="143"/>
      <c r="I113" s="57"/>
      <c r="J113" s="58"/>
      <c r="L113" s="57"/>
      <c r="N113" s="52"/>
    </row>
    <row r="114" spans="1:14" ht="17.25" customHeight="1" x14ac:dyDescent="0.25">
      <c r="A114" s="194" t="s">
        <v>751</v>
      </c>
      <c r="B114" s="61" t="s">
        <v>389</v>
      </c>
      <c r="C114" s="60">
        <v>2022</v>
      </c>
      <c r="D114" s="60">
        <v>0.4</v>
      </c>
      <c r="E114" s="60">
        <v>142</v>
      </c>
      <c r="F114" s="60">
        <v>30</v>
      </c>
      <c r="G114" s="195">
        <v>200.83535999999998</v>
      </c>
      <c r="H114" s="143"/>
      <c r="I114" s="57"/>
      <c r="J114" s="58"/>
      <c r="L114" s="57"/>
      <c r="N114" s="52"/>
    </row>
    <row r="115" spans="1:14" ht="17.25" customHeight="1" x14ac:dyDescent="0.25">
      <c r="A115" s="194" t="s">
        <v>752</v>
      </c>
      <c r="B115" s="61" t="s">
        <v>492</v>
      </c>
      <c r="C115" s="60">
        <v>2022</v>
      </c>
      <c r="D115" s="60">
        <v>0.4</v>
      </c>
      <c r="E115" s="60">
        <v>101.5</v>
      </c>
      <c r="F115" s="60">
        <v>140</v>
      </c>
      <c r="G115" s="195">
        <v>93.452928571428572</v>
      </c>
      <c r="H115" s="143"/>
      <c r="I115" s="57"/>
      <c r="J115" s="58"/>
      <c r="L115" s="57"/>
      <c r="N115" s="52"/>
    </row>
    <row r="116" spans="1:14" ht="17.25" customHeight="1" x14ac:dyDescent="0.25">
      <c r="A116" s="194" t="s">
        <v>752</v>
      </c>
      <c r="B116" s="61" t="s">
        <v>491</v>
      </c>
      <c r="C116" s="60">
        <v>2022</v>
      </c>
      <c r="D116" s="60">
        <v>0.4</v>
      </c>
      <c r="E116" s="60"/>
      <c r="F116" s="60"/>
      <c r="G116" s="195">
        <v>70.089696428571415</v>
      </c>
      <c r="H116" s="143"/>
      <c r="I116" s="57"/>
      <c r="J116" s="58"/>
      <c r="L116" s="57"/>
      <c r="N116" s="52"/>
    </row>
    <row r="117" spans="1:14" ht="17.25" customHeight="1" x14ac:dyDescent="0.25">
      <c r="A117" s="194" t="s">
        <v>752</v>
      </c>
      <c r="B117" s="61" t="s">
        <v>490</v>
      </c>
      <c r="C117" s="60">
        <v>2022</v>
      </c>
      <c r="D117" s="60">
        <v>0.4</v>
      </c>
      <c r="E117" s="60"/>
      <c r="F117" s="60"/>
      <c r="G117" s="195">
        <v>93.452928571428572</v>
      </c>
      <c r="H117" s="143"/>
      <c r="I117" s="57"/>
      <c r="J117" s="58"/>
      <c r="L117" s="57"/>
      <c r="N117" s="52"/>
    </row>
    <row r="118" spans="1:14" ht="17.25" customHeight="1" x14ac:dyDescent="0.25">
      <c r="A118" s="194" t="s">
        <v>752</v>
      </c>
      <c r="B118" s="61" t="s">
        <v>489</v>
      </c>
      <c r="C118" s="60">
        <v>2022</v>
      </c>
      <c r="D118" s="60">
        <v>0.4</v>
      </c>
      <c r="E118" s="60"/>
      <c r="F118" s="60"/>
      <c r="G118" s="195">
        <v>70.089696428571415</v>
      </c>
      <c r="H118" s="143"/>
      <c r="I118" s="57"/>
      <c r="J118" s="58"/>
      <c r="L118" s="57"/>
      <c r="N118" s="52"/>
    </row>
    <row r="119" spans="1:14" ht="17.25" customHeight="1" x14ac:dyDescent="0.25">
      <c r="A119" s="194" t="s">
        <v>750</v>
      </c>
      <c r="B119" s="61" t="s">
        <v>567</v>
      </c>
      <c r="C119" s="60">
        <v>2022</v>
      </c>
      <c r="D119" s="60">
        <v>0.4</v>
      </c>
      <c r="E119" s="60">
        <v>145</v>
      </c>
      <c r="F119" s="60">
        <v>58</v>
      </c>
      <c r="G119" s="195">
        <v>144.71563</v>
      </c>
      <c r="H119" s="143"/>
      <c r="I119" s="57"/>
      <c r="J119" s="58"/>
      <c r="L119" s="57"/>
      <c r="N119" s="52"/>
    </row>
    <row r="120" spans="1:14" ht="17.25" customHeight="1" x14ac:dyDescent="0.25">
      <c r="A120" s="194" t="s">
        <v>750</v>
      </c>
      <c r="B120" s="61" t="s">
        <v>387</v>
      </c>
      <c r="C120" s="60">
        <v>2022</v>
      </c>
      <c r="D120" s="60">
        <v>0.4</v>
      </c>
      <c r="E120" s="60">
        <v>221</v>
      </c>
      <c r="F120" s="60">
        <v>60</v>
      </c>
      <c r="G120" s="195">
        <v>198.1876</v>
      </c>
      <c r="H120" s="143"/>
      <c r="I120" s="57"/>
      <c r="J120" s="58"/>
      <c r="L120" s="57"/>
      <c r="N120" s="52"/>
    </row>
    <row r="121" spans="1:14" ht="17.25" customHeight="1" x14ac:dyDescent="0.25">
      <c r="A121" s="194" t="s">
        <v>750</v>
      </c>
      <c r="B121" s="61" t="s">
        <v>350</v>
      </c>
      <c r="C121" s="60">
        <v>2022</v>
      </c>
      <c r="D121" s="60">
        <v>0.4</v>
      </c>
      <c r="E121" s="60">
        <v>101</v>
      </c>
      <c r="F121" s="60">
        <v>125</v>
      </c>
      <c r="G121" s="195">
        <v>105.75003</v>
      </c>
      <c r="H121" s="143"/>
      <c r="I121" s="57"/>
      <c r="J121" s="58"/>
      <c r="L121" s="57"/>
      <c r="N121" s="52"/>
    </row>
    <row r="122" spans="1:14" ht="17.25" customHeight="1" x14ac:dyDescent="0.25">
      <c r="A122" s="194" t="s">
        <v>751</v>
      </c>
      <c r="B122" s="61" t="s">
        <v>350</v>
      </c>
      <c r="C122" s="60">
        <v>2022</v>
      </c>
      <c r="D122" s="60">
        <v>6</v>
      </c>
      <c r="E122" s="60">
        <v>10</v>
      </c>
      <c r="F122" s="60">
        <v>150.39999999999998</v>
      </c>
      <c r="G122" s="195">
        <v>67.15625831117022</v>
      </c>
      <c r="H122" s="143"/>
      <c r="I122" s="57"/>
      <c r="J122" s="58"/>
      <c r="L122" s="57"/>
      <c r="N122" s="52"/>
    </row>
    <row r="123" spans="1:14" ht="17.25" customHeight="1" x14ac:dyDescent="0.25">
      <c r="A123" s="194" t="s">
        <v>750</v>
      </c>
      <c r="B123" s="61" t="s">
        <v>566</v>
      </c>
      <c r="C123" s="60">
        <v>2022</v>
      </c>
      <c r="D123" s="60">
        <v>0.4</v>
      </c>
      <c r="E123" s="60">
        <v>240</v>
      </c>
      <c r="F123" s="60">
        <v>50</v>
      </c>
      <c r="G123" s="195">
        <v>362.13458000000003</v>
      </c>
      <c r="H123" s="143"/>
      <c r="I123" s="57"/>
      <c r="J123" s="58"/>
      <c r="L123" s="57"/>
      <c r="N123" s="52"/>
    </row>
    <row r="124" spans="1:14" ht="17.25" customHeight="1" x14ac:dyDescent="0.25">
      <c r="A124" s="194" t="s">
        <v>753</v>
      </c>
      <c r="B124" s="61" t="s">
        <v>348</v>
      </c>
      <c r="C124" s="60">
        <v>2022</v>
      </c>
      <c r="D124" s="60">
        <v>0.4</v>
      </c>
      <c r="E124" s="60">
        <v>93</v>
      </c>
      <c r="F124" s="60">
        <v>100</v>
      </c>
      <c r="G124" s="195">
        <v>230.1994</v>
      </c>
      <c r="H124" s="143"/>
      <c r="I124" s="57"/>
      <c r="J124" s="58"/>
      <c r="L124" s="57"/>
      <c r="N124" s="52"/>
    </row>
    <row r="125" spans="1:14" ht="17.25" customHeight="1" x14ac:dyDescent="0.25">
      <c r="A125" s="194" t="s">
        <v>750</v>
      </c>
      <c r="B125" s="61" t="s">
        <v>346</v>
      </c>
      <c r="C125" s="60">
        <v>2022</v>
      </c>
      <c r="D125" s="60">
        <v>0.4</v>
      </c>
      <c r="E125" s="60">
        <v>197</v>
      </c>
      <c r="F125" s="60">
        <v>50</v>
      </c>
      <c r="G125" s="195">
        <v>167.42985999999999</v>
      </c>
      <c r="H125" s="143"/>
      <c r="I125" s="57"/>
      <c r="J125" s="58"/>
      <c r="L125" s="57"/>
      <c r="N125" s="52"/>
    </row>
    <row r="126" spans="1:14" ht="17.25" customHeight="1" x14ac:dyDescent="0.25">
      <c r="A126" s="194" t="s">
        <v>750</v>
      </c>
      <c r="B126" s="61" t="s">
        <v>346</v>
      </c>
      <c r="C126" s="60">
        <v>2022</v>
      </c>
      <c r="D126" s="60">
        <v>6</v>
      </c>
      <c r="E126" s="60">
        <v>337</v>
      </c>
      <c r="F126" s="60">
        <v>376</v>
      </c>
      <c r="G126" s="195">
        <v>120.62956117021277</v>
      </c>
      <c r="H126" s="143"/>
      <c r="I126" s="57"/>
      <c r="J126" s="58"/>
      <c r="L126" s="57"/>
      <c r="N126" s="52"/>
    </row>
    <row r="127" spans="1:14" ht="17.25" customHeight="1" x14ac:dyDescent="0.25">
      <c r="A127" s="194" t="s">
        <v>750</v>
      </c>
      <c r="B127" s="61" t="s">
        <v>345</v>
      </c>
      <c r="C127" s="60">
        <v>2022</v>
      </c>
      <c r="D127" s="60">
        <v>6</v>
      </c>
      <c r="E127" s="60"/>
      <c r="F127" s="60"/>
      <c r="G127" s="195">
        <v>361.88868351063832</v>
      </c>
      <c r="H127" s="143"/>
      <c r="I127" s="57"/>
      <c r="J127" s="58"/>
      <c r="L127" s="57"/>
      <c r="N127" s="52"/>
    </row>
    <row r="128" spans="1:14" ht="17.25" customHeight="1" x14ac:dyDescent="0.25">
      <c r="A128" s="194" t="s">
        <v>750</v>
      </c>
      <c r="B128" s="61" t="s">
        <v>344</v>
      </c>
      <c r="C128" s="60">
        <v>2022</v>
      </c>
      <c r="D128" s="60">
        <v>6</v>
      </c>
      <c r="E128" s="60"/>
      <c r="F128" s="60"/>
      <c r="G128" s="195">
        <v>361.88868351063832</v>
      </c>
      <c r="H128" s="143"/>
      <c r="I128" s="57"/>
      <c r="J128" s="58"/>
      <c r="L128" s="57"/>
      <c r="N128" s="52"/>
    </row>
    <row r="129" spans="1:14" ht="17.25" customHeight="1" x14ac:dyDescent="0.25">
      <c r="A129" s="194" t="s">
        <v>751</v>
      </c>
      <c r="B129" s="61" t="s">
        <v>343</v>
      </c>
      <c r="C129" s="60">
        <v>2022</v>
      </c>
      <c r="D129" s="60">
        <v>0.4</v>
      </c>
      <c r="E129" s="60">
        <v>6</v>
      </c>
      <c r="F129" s="60">
        <v>65</v>
      </c>
      <c r="G129" s="195">
        <v>17.137409999999999</v>
      </c>
      <c r="H129" s="143"/>
      <c r="I129" s="57"/>
      <c r="J129" s="58"/>
      <c r="L129" s="57"/>
      <c r="N129" s="52"/>
    </row>
    <row r="130" spans="1:14" ht="17.25" customHeight="1" x14ac:dyDescent="0.25">
      <c r="A130" s="194" t="s">
        <v>751</v>
      </c>
      <c r="B130" s="61" t="s">
        <v>343</v>
      </c>
      <c r="C130" s="60">
        <v>2022</v>
      </c>
      <c r="D130" s="60">
        <v>6</v>
      </c>
      <c r="E130" s="60">
        <v>12</v>
      </c>
      <c r="F130" s="60">
        <v>94</v>
      </c>
      <c r="G130" s="195">
        <v>66.39242446808511</v>
      </c>
      <c r="H130" s="143"/>
      <c r="I130" s="57"/>
      <c r="J130" s="58"/>
      <c r="L130" s="57"/>
      <c r="N130" s="52"/>
    </row>
    <row r="131" spans="1:14" ht="17.25" customHeight="1" x14ac:dyDescent="0.25">
      <c r="A131" s="194" t="s">
        <v>750</v>
      </c>
      <c r="B131" s="61" t="s">
        <v>342</v>
      </c>
      <c r="C131" s="60">
        <v>2022</v>
      </c>
      <c r="D131" s="60">
        <v>0.4</v>
      </c>
      <c r="E131" s="60">
        <v>654</v>
      </c>
      <c r="F131" s="60">
        <v>150</v>
      </c>
      <c r="G131" s="195">
        <v>862.94430378378377</v>
      </c>
      <c r="H131" s="143"/>
      <c r="I131" s="57"/>
      <c r="J131" s="58"/>
      <c r="L131" s="57"/>
      <c r="N131" s="52"/>
    </row>
    <row r="132" spans="1:14" ht="17.25" customHeight="1" x14ac:dyDescent="0.25">
      <c r="A132" s="194" t="s">
        <v>751</v>
      </c>
      <c r="B132" s="61" t="s">
        <v>342</v>
      </c>
      <c r="C132" s="60">
        <v>2022</v>
      </c>
      <c r="D132" s="60">
        <v>10</v>
      </c>
      <c r="E132" s="60">
        <v>303</v>
      </c>
      <c r="F132" s="60">
        <v>232.5</v>
      </c>
      <c r="G132" s="195">
        <v>506.82601935483865</v>
      </c>
      <c r="H132" s="143"/>
      <c r="I132" s="57"/>
      <c r="J132" s="58"/>
      <c r="L132" s="57"/>
      <c r="N132" s="52"/>
    </row>
    <row r="133" spans="1:14" ht="17.25" customHeight="1" x14ac:dyDescent="0.25">
      <c r="A133" s="194" t="s">
        <v>752</v>
      </c>
      <c r="B133" s="61" t="s">
        <v>340</v>
      </c>
      <c r="C133" s="60">
        <v>2022</v>
      </c>
      <c r="D133" s="60">
        <v>0.4</v>
      </c>
      <c r="E133" s="60">
        <v>200</v>
      </c>
      <c r="F133" s="60">
        <v>100</v>
      </c>
      <c r="G133" s="195">
        <v>470.17372999999998</v>
      </c>
      <c r="H133" s="143"/>
      <c r="I133" s="57"/>
      <c r="J133" s="58"/>
      <c r="L133" s="57"/>
      <c r="N133" s="52"/>
    </row>
    <row r="134" spans="1:14" ht="17.25" customHeight="1" x14ac:dyDescent="0.25">
      <c r="A134" s="284" t="s">
        <v>751</v>
      </c>
      <c r="B134" s="61" t="s">
        <v>1021</v>
      </c>
      <c r="C134" s="122">
        <v>2023</v>
      </c>
      <c r="D134" s="60">
        <v>0.4</v>
      </c>
      <c r="E134" s="122">
        <v>76</v>
      </c>
      <c r="F134" s="229">
        <v>7</v>
      </c>
      <c r="G134" s="283">
        <v>31.59571</v>
      </c>
      <c r="H134" s="143"/>
      <c r="I134" s="57"/>
      <c r="J134" s="58"/>
      <c r="L134" s="285"/>
      <c r="N134" s="52"/>
    </row>
    <row r="135" spans="1:14" ht="17.25" customHeight="1" x14ac:dyDescent="0.25">
      <c r="A135" s="264" t="s">
        <v>751</v>
      </c>
      <c r="B135" s="61" t="s">
        <v>1022</v>
      </c>
      <c r="C135" s="120">
        <v>2023</v>
      </c>
      <c r="D135" s="120">
        <v>0.4</v>
      </c>
      <c r="E135" s="120">
        <v>357</v>
      </c>
      <c r="F135" s="97">
        <v>15</v>
      </c>
      <c r="G135" s="109">
        <v>337.88036</v>
      </c>
      <c r="H135" s="143"/>
      <c r="I135" s="57"/>
      <c r="J135" s="58"/>
      <c r="L135" s="285"/>
      <c r="N135" s="52"/>
    </row>
    <row r="136" spans="1:14" ht="17.25" customHeight="1" x14ac:dyDescent="0.25">
      <c r="A136" s="264" t="s">
        <v>751</v>
      </c>
      <c r="B136" s="61" t="s">
        <v>1023</v>
      </c>
      <c r="C136" s="120">
        <v>2022</v>
      </c>
      <c r="D136" s="120">
        <v>0.4</v>
      </c>
      <c r="E136" s="111">
        <v>194</v>
      </c>
      <c r="F136" s="97">
        <v>15</v>
      </c>
      <c r="G136" s="109">
        <v>91.227119999999999</v>
      </c>
      <c r="H136" s="143"/>
      <c r="I136" s="57"/>
      <c r="J136" s="58"/>
      <c r="L136" s="285"/>
      <c r="N136" s="52"/>
    </row>
    <row r="137" spans="1:14" ht="17.25" customHeight="1" x14ac:dyDescent="0.25">
      <c r="A137" s="264" t="s">
        <v>751</v>
      </c>
      <c r="B137" s="83" t="s">
        <v>1024</v>
      </c>
      <c r="C137" s="120">
        <v>2023</v>
      </c>
      <c r="D137" s="120">
        <v>0.4</v>
      </c>
      <c r="E137" s="120">
        <v>84</v>
      </c>
      <c r="F137" s="97">
        <v>15</v>
      </c>
      <c r="G137" s="109">
        <v>161.99597</v>
      </c>
      <c r="H137" s="143"/>
      <c r="I137" s="57"/>
      <c r="J137" s="58"/>
      <c r="L137" s="285"/>
      <c r="N137" s="52"/>
    </row>
    <row r="138" spans="1:14" ht="17.25" customHeight="1" x14ac:dyDescent="0.25">
      <c r="A138" s="264" t="s">
        <v>751</v>
      </c>
      <c r="B138" s="61" t="s">
        <v>1025</v>
      </c>
      <c r="C138" s="120">
        <v>2023</v>
      </c>
      <c r="D138" s="120">
        <v>0.4</v>
      </c>
      <c r="E138" s="120">
        <f>221+22</f>
        <v>243</v>
      </c>
      <c r="F138" s="97">
        <v>15</v>
      </c>
      <c r="G138" s="109">
        <v>381.12887000000001</v>
      </c>
      <c r="H138" s="143"/>
      <c r="I138" s="57"/>
      <c r="J138" s="58"/>
      <c r="L138" s="285"/>
      <c r="N138" s="52"/>
    </row>
    <row r="139" spans="1:14" ht="17.25" customHeight="1" x14ac:dyDescent="0.25">
      <c r="A139" s="264" t="s">
        <v>751</v>
      </c>
      <c r="B139" s="61" t="s">
        <v>1026</v>
      </c>
      <c r="C139" s="120">
        <v>2023</v>
      </c>
      <c r="D139" s="120">
        <v>0.4</v>
      </c>
      <c r="E139" s="120">
        <v>58</v>
      </c>
      <c r="F139" s="97">
        <v>15</v>
      </c>
      <c r="G139" s="109">
        <v>113.15733</v>
      </c>
      <c r="H139" s="143"/>
      <c r="I139" s="57"/>
      <c r="J139" s="58"/>
      <c r="L139" s="285"/>
      <c r="N139" s="52"/>
    </row>
    <row r="140" spans="1:14" ht="17.25" customHeight="1" x14ac:dyDescent="0.25">
      <c r="A140" s="194" t="s">
        <v>751</v>
      </c>
      <c r="B140" s="61" t="s">
        <v>1027</v>
      </c>
      <c r="C140" s="120">
        <v>2023</v>
      </c>
      <c r="D140" s="120">
        <v>0.4</v>
      </c>
      <c r="E140" s="120">
        <v>69</v>
      </c>
      <c r="F140" s="97">
        <v>5</v>
      </c>
      <c r="G140" s="109">
        <v>14.83099</v>
      </c>
      <c r="H140" s="143"/>
      <c r="I140" s="57"/>
      <c r="J140" s="58"/>
      <c r="L140" s="285"/>
      <c r="N140" s="52"/>
    </row>
    <row r="141" spans="1:14" ht="17.25" customHeight="1" x14ac:dyDescent="0.25">
      <c r="A141" s="264" t="s">
        <v>751</v>
      </c>
      <c r="B141" s="61" t="s">
        <v>1028</v>
      </c>
      <c r="C141" s="120">
        <v>2023</v>
      </c>
      <c r="D141" s="120">
        <v>0.4</v>
      </c>
      <c r="E141" s="120">
        <v>45</v>
      </c>
      <c r="F141" s="97">
        <v>15</v>
      </c>
      <c r="G141" s="109">
        <v>21.524439999999998</v>
      </c>
      <c r="H141" s="143"/>
      <c r="I141" s="57"/>
      <c r="J141" s="58"/>
      <c r="L141" s="285"/>
      <c r="N141" s="52"/>
    </row>
    <row r="142" spans="1:14" ht="17.25" customHeight="1" x14ac:dyDescent="0.25">
      <c r="A142" s="281" t="s">
        <v>751</v>
      </c>
      <c r="B142" s="61" t="s">
        <v>1029</v>
      </c>
      <c r="C142" s="120">
        <v>2023</v>
      </c>
      <c r="D142" s="120">
        <v>0.4</v>
      </c>
      <c r="E142" s="120">
        <v>134</v>
      </c>
      <c r="F142" s="97">
        <v>5</v>
      </c>
      <c r="G142" s="109">
        <v>15.95364</v>
      </c>
      <c r="H142" s="143"/>
      <c r="I142" s="57"/>
      <c r="J142" s="58"/>
      <c r="L142" s="285"/>
      <c r="N142" s="52"/>
    </row>
    <row r="143" spans="1:14" ht="17.25" customHeight="1" x14ac:dyDescent="0.25">
      <c r="A143" s="281" t="s">
        <v>751</v>
      </c>
      <c r="B143" s="61" t="s">
        <v>1030</v>
      </c>
      <c r="C143" s="120">
        <v>2022</v>
      </c>
      <c r="D143" s="120">
        <v>0.4</v>
      </c>
      <c r="E143" s="120">
        <v>332</v>
      </c>
      <c r="F143" s="97">
        <v>8</v>
      </c>
      <c r="G143" s="109">
        <v>153.31413000000001</v>
      </c>
      <c r="H143" s="143"/>
      <c r="I143" s="57"/>
      <c r="J143" s="58"/>
      <c r="L143" s="285"/>
      <c r="N143" s="52"/>
    </row>
    <row r="144" spans="1:14" ht="17.25" customHeight="1" x14ac:dyDescent="0.25">
      <c r="A144" s="264" t="s">
        <v>751</v>
      </c>
      <c r="B144" s="61" t="s">
        <v>1031</v>
      </c>
      <c r="C144" s="120">
        <v>2022</v>
      </c>
      <c r="D144" s="120">
        <v>0.4</v>
      </c>
      <c r="E144" s="120">
        <v>109</v>
      </c>
      <c r="F144" s="97">
        <v>30</v>
      </c>
      <c r="G144" s="109">
        <v>210.28932999999998</v>
      </c>
      <c r="H144" s="143"/>
      <c r="I144" s="57"/>
      <c r="J144" s="58"/>
      <c r="L144" s="285"/>
      <c r="N144" s="52"/>
    </row>
    <row r="145" spans="1:14" ht="17.25" customHeight="1" x14ac:dyDescent="0.25">
      <c r="A145" s="194" t="s">
        <v>751</v>
      </c>
      <c r="B145" s="83" t="s">
        <v>1032</v>
      </c>
      <c r="C145" s="120">
        <v>2023</v>
      </c>
      <c r="D145" s="120">
        <v>0.4</v>
      </c>
      <c r="E145" s="120">
        <v>21</v>
      </c>
      <c r="F145" s="97">
        <v>15</v>
      </c>
      <c r="G145" s="109">
        <v>15.860299999999999</v>
      </c>
      <c r="H145" s="143"/>
      <c r="I145" s="57"/>
      <c r="J145" s="58"/>
      <c r="L145" s="285"/>
      <c r="N145" s="52"/>
    </row>
    <row r="146" spans="1:14" ht="17.25" customHeight="1" x14ac:dyDescent="0.25">
      <c r="A146" s="264" t="s">
        <v>751</v>
      </c>
      <c r="B146" s="83" t="s">
        <v>1033</v>
      </c>
      <c r="C146" s="120">
        <v>2022</v>
      </c>
      <c r="D146" s="120">
        <v>0.4</v>
      </c>
      <c r="E146" s="120">
        <v>60</v>
      </c>
      <c r="F146" s="97">
        <v>5</v>
      </c>
      <c r="G146" s="109">
        <v>124.84019000000001</v>
      </c>
      <c r="H146" s="143"/>
      <c r="I146" s="57"/>
      <c r="J146" s="58"/>
      <c r="L146" s="285"/>
      <c r="N146" s="52"/>
    </row>
    <row r="147" spans="1:14" ht="17.25" customHeight="1" x14ac:dyDescent="0.25">
      <c r="A147" s="264" t="s">
        <v>751</v>
      </c>
      <c r="B147" s="61" t="s">
        <v>1034</v>
      </c>
      <c r="C147" s="60">
        <v>2022</v>
      </c>
      <c r="D147" s="120">
        <v>0.4</v>
      </c>
      <c r="E147" s="120">
        <v>43</v>
      </c>
      <c r="F147" s="97">
        <v>15</v>
      </c>
      <c r="G147" s="109">
        <v>292.75441999999998</v>
      </c>
      <c r="H147" s="143"/>
      <c r="I147" s="57"/>
      <c r="J147" s="58"/>
      <c r="L147" s="285"/>
      <c r="N147" s="52"/>
    </row>
    <row r="148" spans="1:14" ht="17.25" customHeight="1" x14ac:dyDescent="0.25">
      <c r="A148" s="264" t="s">
        <v>751</v>
      </c>
      <c r="B148" s="61" t="s">
        <v>1035</v>
      </c>
      <c r="C148" s="120">
        <v>2022</v>
      </c>
      <c r="D148" s="120">
        <v>0.4</v>
      </c>
      <c r="E148" s="120">
        <v>191</v>
      </c>
      <c r="F148" s="97">
        <v>5</v>
      </c>
      <c r="G148" s="109">
        <v>128.04181</v>
      </c>
      <c r="H148" s="143"/>
      <c r="I148" s="57"/>
      <c r="J148" s="58"/>
      <c r="L148" s="285"/>
      <c r="N148" s="52"/>
    </row>
    <row r="149" spans="1:14" ht="17.25" customHeight="1" x14ac:dyDescent="0.25">
      <c r="A149" s="281" t="s">
        <v>751</v>
      </c>
      <c r="B149" s="61" t="s">
        <v>1036</v>
      </c>
      <c r="C149" s="120">
        <v>2022</v>
      </c>
      <c r="D149" s="120">
        <v>0.4</v>
      </c>
      <c r="E149" s="120">
        <v>68</v>
      </c>
      <c r="F149" s="97">
        <v>5</v>
      </c>
      <c r="G149" s="109">
        <v>11.461319999999999</v>
      </c>
      <c r="H149" s="143"/>
      <c r="I149" s="57"/>
      <c r="J149" s="58"/>
      <c r="L149" s="285"/>
      <c r="N149" s="52"/>
    </row>
    <row r="150" spans="1:14" ht="17.25" customHeight="1" x14ac:dyDescent="0.25">
      <c r="A150" s="281" t="s">
        <v>751</v>
      </c>
      <c r="B150" s="61" t="s">
        <v>1053</v>
      </c>
      <c r="C150" s="97">
        <v>2022</v>
      </c>
      <c r="D150" s="120">
        <v>0.4</v>
      </c>
      <c r="E150" s="120">
        <v>42</v>
      </c>
      <c r="F150" s="97">
        <v>15</v>
      </c>
      <c r="G150" s="246">
        <v>90.819690000000008</v>
      </c>
      <c r="H150" s="143"/>
      <c r="I150" s="57"/>
      <c r="J150" s="58"/>
      <c r="L150" s="285"/>
      <c r="N150" s="52"/>
    </row>
    <row r="151" spans="1:14" ht="17.25" customHeight="1" x14ac:dyDescent="0.25">
      <c r="A151" s="281" t="s">
        <v>751</v>
      </c>
      <c r="B151" s="61" t="s">
        <v>1052</v>
      </c>
      <c r="C151" s="97">
        <v>2022</v>
      </c>
      <c r="D151" s="120">
        <v>0.4</v>
      </c>
      <c r="E151" s="120">
        <v>173</v>
      </c>
      <c r="F151" s="97">
        <v>3</v>
      </c>
      <c r="G151" s="109">
        <v>108.93656</v>
      </c>
      <c r="H151" s="143"/>
      <c r="I151" s="57"/>
      <c r="J151" s="58"/>
      <c r="L151" s="285"/>
      <c r="N151" s="52"/>
    </row>
    <row r="152" spans="1:14" ht="17.25" customHeight="1" x14ac:dyDescent="0.25">
      <c r="A152" s="264" t="s">
        <v>750</v>
      </c>
      <c r="B152" s="61" t="s">
        <v>1051</v>
      </c>
      <c r="C152" s="120">
        <v>2023</v>
      </c>
      <c r="D152" s="120">
        <v>0.4</v>
      </c>
      <c r="E152" s="120">
        <v>216</v>
      </c>
      <c r="F152" s="97">
        <v>5</v>
      </c>
      <c r="G152" s="109">
        <v>232.50645</v>
      </c>
      <c r="H152" s="143"/>
      <c r="I152" s="57"/>
      <c r="J152" s="58"/>
      <c r="L152" s="285"/>
      <c r="N152" s="52"/>
    </row>
    <row r="153" spans="1:14" ht="17.25" customHeight="1" x14ac:dyDescent="0.25">
      <c r="A153" s="264" t="s">
        <v>750</v>
      </c>
      <c r="B153" s="61" t="s">
        <v>1050</v>
      </c>
      <c r="C153" s="120">
        <v>2023</v>
      </c>
      <c r="D153" s="120">
        <v>10</v>
      </c>
      <c r="E153" s="120">
        <v>1470</v>
      </c>
      <c r="F153" s="97"/>
      <c r="G153" s="109">
        <v>1184.22954</v>
      </c>
      <c r="H153" s="143"/>
      <c r="I153" s="57"/>
      <c r="J153" s="58"/>
      <c r="L153" s="285"/>
      <c r="N153" s="52"/>
    </row>
    <row r="154" spans="1:14" ht="17.25" customHeight="1" x14ac:dyDescent="0.25">
      <c r="A154" s="264" t="s">
        <v>750</v>
      </c>
      <c r="B154" s="61" t="s">
        <v>1056</v>
      </c>
      <c r="C154" s="120">
        <v>2023</v>
      </c>
      <c r="D154" s="120">
        <v>0.4</v>
      </c>
      <c r="E154" s="120">
        <v>465</v>
      </c>
      <c r="F154" s="97">
        <v>15</v>
      </c>
      <c r="G154" s="109">
        <v>335.14441999999997</v>
      </c>
      <c r="H154" s="143"/>
      <c r="I154" s="57"/>
      <c r="J154" s="58"/>
      <c r="L154" s="285"/>
      <c r="N154" s="52"/>
    </row>
    <row r="155" spans="1:14" ht="17.25" customHeight="1" x14ac:dyDescent="0.25">
      <c r="A155" s="264" t="s">
        <v>750</v>
      </c>
      <c r="B155" s="61" t="s">
        <v>1055</v>
      </c>
      <c r="C155" s="120">
        <v>2023</v>
      </c>
      <c r="D155" s="120">
        <v>0.4</v>
      </c>
      <c r="E155" s="111">
        <f>344+176</f>
        <v>520</v>
      </c>
      <c r="F155" s="97">
        <v>15</v>
      </c>
      <c r="G155" s="109">
        <v>988.23784000000001</v>
      </c>
      <c r="H155" s="143"/>
      <c r="I155" s="57"/>
      <c r="J155" s="58"/>
      <c r="L155" s="285"/>
      <c r="N155" s="52"/>
    </row>
    <row r="156" spans="1:14" ht="17.25" customHeight="1" x14ac:dyDescent="0.25">
      <c r="A156" s="264" t="s">
        <v>750</v>
      </c>
      <c r="B156" s="83" t="s">
        <v>1054</v>
      </c>
      <c r="C156" s="120">
        <v>2023</v>
      </c>
      <c r="D156" s="120">
        <v>0.4</v>
      </c>
      <c r="E156" s="120">
        <f>298.3+85.1</f>
        <v>383.4</v>
      </c>
      <c r="F156" s="97">
        <v>15</v>
      </c>
      <c r="G156" s="109">
        <v>558.74824000000001</v>
      </c>
      <c r="H156" s="143"/>
      <c r="I156" s="57"/>
      <c r="J156" s="58"/>
      <c r="L156" s="285"/>
      <c r="N156" s="52"/>
    </row>
    <row r="157" spans="1:14" ht="17.25" customHeight="1" x14ac:dyDescent="0.25">
      <c r="A157" s="281" t="s">
        <v>750</v>
      </c>
      <c r="B157" s="61" t="s">
        <v>1037</v>
      </c>
      <c r="C157" s="120">
        <v>2021</v>
      </c>
      <c r="D157" s="120">
        <v>6</v>
      </c>
      <c r="E157" s="120">
        <v>1010</v>
      </c>
      <c r="F157" s="97"/>
      <c r="G157" s="109">
        <v>907.13430000000005</v>
      </c>
      <c r="H157" s="143"/>
      <c r="I157" s="57"/>
      <c r="J157" s="58"/>
      <c r="L157" s="285"/>
      <c r="N157" s="52"/>
    </row>
    <row r="158" spans="1:14" ht="17.25" customHeight="1" x14ac:dyDescent="0.25">
      <c r="A158" s="264" t="s">
        <v>750</v>
      </c>
      <c r="B158" s="61" t="s">
        <v>1049</v>
      </c>
      <c r="C158" s="120">
        <v>2022</v>
      </c>
      <c r="D158" s="120">
        <v>0.4</v>
      </c>
      <c r="E158" s="120">
        <v>448</v>
      </c>
      <c r="F158" s="97">
        <v>15</v>
      </c>
      <c r="G158" s="109">
        <v>1296.04882</v>
      </c>
      <c r="H158" s="143"/>
      <c r="I158" s="57"/>
      <c r="J158" s="58"/>
      <c r="L158" s="285"/>
      <c r="N158" s="52"/>
    </row>
    <row r="159" spans="1:14" ht="17.25" customHeight="1" x14ac:dyDescent="0.25">
      <c r="A159" s="281" t="s">
        <v>750</v>
      </c>
      <c r="B159" s="61" t="s">
        <v>1048</v>
      </c>
      <c r="C159" s="120">
        <v>2022</v>
      </c>
      <c r="D159" s="120">
        <v>0.4</v>
      </c>
      <c r="E159" s="120">
        <v>236</v>
      </c>
      <c r="F159" s="97">
        <v>15</v>
      </c>
      <c r="G159" s="109">
        <v>213.70823999999999</v>
      </c>
      <c r="H159" s="143"/>
      <c r="I159" s="57"/>
      <c r="J159" s="58"/>
      <c r="L159" s="285"/>
      <c r="N159" s="52"/>
    </row>
    <row r="160" spans="1:14" ht="17.25" customHeight="1" x14ac:dyDescent="0.25">
      <c r="A160" s="264" t="s">
        <v>750</v>
      </c>
      <c r="B160" s="61" t="s">
        <v>1047</v>
      </c>
      <c r="C160" s="120">
        <v>2023</v>
      </c>
      <c r="D160" s="120">
        <v>0.4</v>
      </c>
      <c r="E160" s="120">
        <v>114</v>
      </c>
      <c r="F160" s="97">
        <v>141.49</v>
      </c>
      <c r="G160" s="109">
        <v>193.66782000000001</v>
      </c>
      <c r="H160" s="143"/>
      <c r="I160" s="57"/>
      <c r="J160" s="58"/>
      <c r="L160" s="285"/>
      <c r="N160" s="52"/>
    </row>
    <row r="161" spans="1:20" ht="17.25" customHeight="1" x14ac:dyDescent="0.25">
      <c r="A161" s="264" t="s">
        <v>750</v>
      </c>
      <c r="B161" s="61" t="s">
        <v>1048</v>
      </c>
      <c r="C161" s="120">
        <v>2023</v>
      </c>
      <c r="D161" s="120">
        <v>0.4</v>
      </c>
      <c r="E161" s="120">
        <v>236</v>
      </c>
      <c r="F161" s="97">
        <v>15</v>
      </c>
      <c r="G161" s="109">
        <v>51329.18</v>
      </c>
      <c r="H161" s="143"/>
      <c r="I161" s="57"/>
      <c r="J161" s="58"/>
      <c r="L161" s="285"/>
      <c r="N161" s="52"/>
    </row>
    <row r="162" spans="1:20" ht="17.25" customHeight="1" x14ac:dyDescent="0.25">
      <c r="A162" s="264" t="s">
        <v>753</v>
      </c>
      <c r="B162" s="61" t="s">
        <v>1038</v>
      </c>
      <c r="C162" s="120">
        <v>2023</v>
      </c>
      <c r="D162" s="120">
        <v>0.4</v>
      </c>
      <c r="E162" s="120">
        <v>105</v>
      </c>
      <c r="F162" s="97">
        <v>5</v>
      </c>
      <c r="G162" s="109">
        <v>123.02508</v>
      </c>
      <c r="H162" s="143"/>
      <c r="I162" s="57"/>
      <c r="J162" s="58"/>
      <c r="L162" s="285"/>
      <c r="N162" s="52"/>
    </row>
    <row r="163" spans="1:20" ht="17.25" customHeight="1" x14ac:dyDescent="0.25">
      <c r="A163" s="264" t="s">
        <v>753</v>
      </c>
      <c r="B163" s="61" t="s">
        <v>1039</v>
      </c>
      <c r="C163" s="120">
        <v>2023</v>
      </c>
      <c r="D163" s="120">
        <v>0.4</v>
      </c>
      <c r="E163" s="120">
        <v>564</v>
      </c>
      <c r="F163" s="97">
        <v>15</v>
      </c>
      <c r="G163" s="109">
        <v>621.93667000000005</v>
      </c>
      <c r="H163" s="143"/>
      <c r="I163" s="57"/>
      <c r="J163" s="58"/>
      <c r="L163" s="285"/>
      <c r="N163" s="52"/>
    </row>
    <row r="164" spans="1:20" ht="17.25" customHeight="1" x14ac:dyDescent="0.25">
      <c r="A164" s="264" t="s">
        <v>1057</v>
      </c>
      <c r="B164" s="61" t="s">
        <v>1040</v>
      </c>
      <c r="C164" s="120">
        <v>2023</v>
      </c>
      <c r="D164" s="120">
        <v>0.4</v>
      </c>
      <c r="E164" s="120">
        <v>16</v>
      </c>
      <c r="F164" s="97">
        <v>5</v>
      </c>
      <c r="G164" s="109">
        <v>14.61101</v>
      </c>
      <c r="H164" s="143"/>
      <c r="I164" s="57"/>
      <c r="J164" s="58"/>
      <c r="L164" s="285"/>
      <c r="N164" s="52"/>
    </row>
    <row r="165" spans="1:20" ht="17.25" customHeight="1" x14ac:dyDescent="0.25">
      <c r="A165" s="264" t="s">
        <v>1057</v>
      </c>
      <c r="B165" s="61" t="s">
        <v>1041</v>
      </c>
      <c r="C165" s="120">
        <v>2023</v>
      </c>
      <c r="D165" s="120">
        <v>0.4</v>
      </c>
      <c r="E165" s="120">
        <v>23</v>
      </c>
      <c r="F165" s="97">
        <v>5</v>
      </c>
      <c r="G165" s="109">
        <v>21.085039999999999</v>
      </c>
      <c r="H165" s="143"/>
      <c r="I165" s="57"/>
      <c r="J165" s="58"/>
      <c r="L165" s="285"/>
      <c r="N165" s="52"/>
    </row>
    <row r="166" spans="1:20" ht="17.25" customHeight="1" x14ac:dyDescent="0.25">
      <c r="A166" s="264" t="s">
        <v>1057</v>
      </c>
      <c r="B166" s="61" t="s">
        <v>1042</v>
      </c>
      <c r="C166" s="120">
        <v>2023</v>
      </c>
      <c r="D166" s="120">
        <v>0.4</v>
      </c>
      <c r="E166" s="120">
        <v>39</v>
      </c>
      <c r="F166" s="97">
        <v>15</v>
      </c>
      <c r="G166" s="278">
        <v>40.404780000000002</v>
      </c>
      <c r="H166" s="143"/>
      <c r="I166" s="57"/>
      <c r="J166" s="58"/>
      <c r="L166" s="285"/>
      <c r="N166" s="52"/>
    </row>
    <row r="167" spans="1:20" ht="17.25" customHeight="1" x14ac:dyDescent="0.25">
      <c r="A167" s="264" t="s">
        <v>1057</v>
      </c>
      <c r="B167" s="61" t="s">
        <v>1043</v>
      </c>
      <c r="C167" s="120">
        <v>2023</v>
      </c>
      <c r="D167" s="120">
        <v>0.4</v>
      </c>
      <c r="E167" s="120">
        <v>12</v>
      </c>
      <c r="F167" s="97">
        <v>5</v>
      </c>
      <c r="G167" s="279">
        <v>642.27062999999998</v>
      </c>
      <c r="H167" s="143"/>
      <c r="I167" s="57"/>
      <c r="J167" s="58"/>
      <c r="L167" s="285"/>
      <c r="N167" s="52"/>
    </row>
    <row r="168" spans="1:20" ht="17.25" customHeight="1" x14ac:dyDescent="0.25">
      <c r="A168" s="264" t="s">
        <v>1057</v>
      </c>
      <c r="B168" s="61" t="s">
        <v>1044</v>
      </c>
      <c r="C168" s="249">
        <v>2023</v>
      </c>
      <c r="D168" s="249">
        <v>0.4</v>
      </c>
      <c r="E168" s="249">
        <v>56</v>
      </c>
      <c r="F168" s="250">
        <v>15</v>
      </c>
      <c r="G168" s="244">
        <v>15.56878</v>
      </c>
      <c r="H168" s="143"/>
      <c r="I168" s="57"/>
      <c r="J168" s="58"/>
      <c r="L168" s="285"/>
      <c r="N168" s="52"/>
    </row>
    <row r="169" spans="1:20" ht="17.25" customHeight="1" x14ac:dyDescent="0.25">
      <c r="A169" s="284" t="s">
        <v>1057</v>
      </c>
      <c r="B169" s="61" t="s">
        <v>1045</v>
      </c>
      <c r="C169" s="120">
        <v>2023</v>
      </c>
      <c r="D169" s="120">
        <v>0.4</v>
      </c>
      <c r="E169" s="120">
        <v>154</v>
      </c>
      <c r="F169" s="97">
        <v>10</v>
      </c>
      <c r="G169" s="109">
        <v>79.529560000000004</v>
      </c>
      <c r="H169" s="143"/>
      <c r="I169" s="57"/>
      <c r="J169" s="58"/>
      <c r="L169" s="285"/>
      <c r="N169" s="52"/>
    </row>
    <row r="170" spans="1:20" ht="17.25" customHeight="1" thickBot="1" x14ac:dyDescent="0.3">
      <c r="A170" s="282" t="s">
        <v>1058</v>
      </c>
      <c r="B170" s="61" t="s">
        <v>1046</v>
      </c>
      <c r="C170" s="238">
        <v>2023</v>
      </c>
      <c r="D170" s="122">
        <v>0.4</v>
      </c>
      <c r="E170" s="122">
        <v>60</v>
      </c>
      <c r="F170" s="229">
        <v>15</v>
      </c>
      <c r="G170" s="283">
        <v>29.167300000000001</v>
      </c>
      <c r="H170" s="143"/>
      <c r="I170" s="57"/>
      <c r="J170" s="58"/>
      <c r="L170" s="285"/>
      <c r="N170" s="52"/>
    </row>
    <row r="171" spans="1:20" ht="15.75" customHeight="1" x14ac:dyDescent="0.25">
      <c r="A171" s="190" t="s">
        <v>754</v>
      </c>
      <c r="B171" s="34" t="s">
        <v>560</v>
      </c>
      <c r="C171" s="33"/>
      <c r="D171" s="17"/>
      <c r="E171" s="17"/>
      <c r="F171" s="17"/>
      <c r="G171" s="191"/>
      <c r="H171" s="135"/>
      <c r="I171" s="52"/>
      <c r="J171" s="52"/>
    </row>
    <row r="172" spans="1:20" ht="70.5" customHeight="1" x14ac:dyDescent="0.25">
      <c r="A172" s="192" t="s">
        <v>755</v>
      </c>
      <c r="B172" s="29" t="s">
        <v>558</v>
      </c>
      <c r="C172" s="33"/>
      <c r="D172" s="17"/>
      <c r="E172" s="17"/>
      <c r="F172" s="17"/>
      <c r="G172" s="191"/>
      <c r="H172" s="135"/>
      <c r="I172" s="52"/>
      <c r="J172" s="52"/>
    </row>
    <row r="173" spans="1:20" ht="23.1" customHeight="1" x14ac:dyDescent="0.25">
      <c r="A173" s="192" t="s">
        <v>756</v>
      </c>
      <c r="B173" s="29" t="s">
        <v>556</v>
      </c>
      <c r="C173" s="33"/>
      <c r="D173" s="17"/>
      <c r="E173" s="17"/>
      <c r="F173" s="17"/>
      <c r="G173" s="191"/>
      <c r="H173" s="135"/>
      <c r="I173" s="52"/>
      <c r="J173" s="52"/>
    </row>
    <row r="174" spans="1:20" ht="39.950000000000003" customHeight="1" x14ac:dyDescent="0.25">
      <c r="A174" s="192" t="s">
        <v>757</v>
      </c>
      <c r="B174" s="29" t="s">
        <v>554</v>
      </c>
      <c r="C174" s="33"/>
      <c r="D174" s="17"/>
      <c r="E174" s="17"/>
      <c r="F174" s="17"/>
      <c r="G174" s="191"/>
      <c r="H174" s="135"/>
      <c r="I174" s="52"/>
      <c r="J174" s="52"/>
    </row>
    <row r="175" spans="1:20" ht="129.6" customHeight="1" x14ac:dyDescent="0.25">
      <c r="A175" s="192" t="s">
        <v>758</v>
      </c>
      <c r="B175" s="29" t="s">
        <v>552</v>
      </c>
      <c r="C175" s="13"/>
      <c r="D175" s="12"/>
      <c r="E175" s="12"/>
      <c r="F175" s="12"/>
      <c r="G175" s="193"/>
    </row>
    <row r="176" spans="1:20" s="30" customFormat="1" ht="53.1" customHeight="1" x14ac:dyDescent="0.25">
      <c r="A176" s="192" t="s">
        <v>759</v>
      </c>
      <c r="B176" s="29" t="s">
        <v>550</v>
      </c>
      <c r="C176" s="13"/>
      <c r="D176" s="12"/>
      <c r="E176" s="12"/>
      <c r="F176" s="12"/>
      <c r="G176" s="193"/>
      <c r="H176" s="2"/>
      <c r="T176" s="1"/>
    </row>
    <row r="177" spans="1:10" ht="15.75" customHeight="1" x14ac:dyDescent="0.25">
      <c r="A177" s="198" t="s">
        <v>763</v>
      </c>
      <c r="B177" s="44" t="s">
        <v>429</v>
      </c>
      <c r="C177" s="39">
        <v>2021</v>
      </c>
      <c r="D177" s="39">
        <v>0.4</v>
      </c>
      <c r="E177" s="38">
        <v>65</v>
      </c>
      <c r="F177" s="11">
        <v>15</v>
      </c>
      <c r="G177" s="199">
        <v>43.040199999999999</v>
      </c>
      <c r="H177" s="145"/>
      <c r="I177" s="1" t="s">
        <v>428</v>
      </c>
    </row>
    <row r="178" spans="1:10" ht="15.75" customHeight="1" x14ac:dyDescent="0.25">
      <c r="A178" s="198" t="s">
        <v>762</v>
      </c>
      <c r="B178" s="44" t="s">
        <v>427</v>
      </c>
      <c r="C178" s="39">
        <v>2021</v>
      </c>
      <c r="D178" s="39">
        <v>0.4</v>
      </c>
      <c r="E178" s="38">
        <v>145</v>
      </c>
      <c r="F178" s="11">
        <v>100</v>
      </c>
      <c r="G178" s="199">
        <v>426.01499999999999</v>
      </c>
      <c r="H178" s="145"/>
      <c r="I178" s="1" t="s">
        <v>426</v>
      </c>
    </row>
    <row r="179" spans="1:10" ht="15.75" customHeight="1" x14ac:dyDescent="0.25">
      <c r="A179" s="198" t="s">
        <v>761</v>
      </c>
      <c r="B179" s="44" t="s">
        <v>427</v>
      </c>
      <c r="C179" s="39">
        <v>2021</v>
      </c>
      <c r="D179" s="39">
        <v>0.4</v>
      </c>
      <c r="E179" s="38">
        <v>103</v>
      </c>
      <c r="F179" s="11">
        <v>100</v>
      </c>
      <c r="G179" s="199">
        <v>1102.3800000000001</v>
      </c>
      <c r="H179" s="145"/>
    </row>
    <row r="180" spans="1:10" ht="15.75" customHeight="1" x14ac:dyDescent="0.25">
      <c r="A180" s="200" t="s">
        <v>762</v>
      </c>
      <c r="B180" s="46" t="s">
        <v>515</v>
      </c>
      <c r="C180" s="45">
        <v>2021</v>
      </c>
      <c r="D180" s="45">
        <v>0.4</v>
      </c>
      <c r="E180" s="38">
        <v>135</v>
      </c>
      <c r="F180" s="11">
        <v>70</v>
      </c>
      <c r="G180" s="199">
        <v>366.88200000000001</v>
      </c>
      <c r="H180" s="145"/>
      <c r="I180" s="1" t="s">
        <v>420</v>
      </c>
    </row>
    <row r="181" spans="1:10" ht="15.75" customHeight="1" x14ac:dyDescent="0.25">
      <c r="A181" s="200" t="s">
        <v>761</v>
      </c>
      <c r="B181" s="46" t="s">
        <v>515</v>
      </c>
      <c r="C181" s="45">
        <v>2021</v>
      </c>
      <c r="D181" s="45">
        <v>0.4</v>
      </c>
      <c r="E181" s="38">
        <v>63</v>
      </c>
      <c r="F181" s="11"/>
      <c r="G181" s="199">
        <v>690.91800000000001</v>
      </c>
      <c r="H181" s="145"/>
      <c r="J181" s="1" t="s">
        <v>501</v>
      </c>
    </row>
    <row r="182" spans="1:10" ht="15.75" customHeight="1" x14ac:dyDescent="0.25">
      <c r="A182" s="200" t="s">
        <v>760</v>
      </c>
      <c r="B182" s="46" t="s">
        <v>515</v>
      </c>
      <c r="C182" s="45">
        <v>2021</v>
      </c>
      <c r="D182" s="45">
        <v>0.4</v>
      </c>
      <c r="E182" s="38">
        <v>43</v>
      </c>
      <c r="F182" s="11"/>
      <c r="G182" s="199">
        <v>150.73599999999999</v>
      </c>
      <c r="H182" s="145"/>
    </row>
    <row r="183" spans="1:10" ht="15.75" customHeight="1" x14ac:dyDescent="0.25">
      <c r="A183" s="200" t="s">
        <v>764</v>
      </c>
      <c r="B183" s="46" t="s">
        <v>515</v>
      </c>
      <c r="C183" s="45">
        <v>2021</v>
      </c>
      <c r="D183" s="45">
        <v>0.4</v>
      </c>
      <c r="E183" s="38">
        <v>22</v>
      </c>
      <c r="F183" s="11"/>
      <c r="G183" s="199">
        <v>316.93599999999998</v>
      </c>
      <c r="H183" s="145"/>
      <c r="I183" s="1">
        <v>1525470.7</v>
      </c>
      <c r="J183" s="1" t="s">
        <v>513</v>
      </c>
    </row>
    <row r="184" spans="1:10" ht="15.75" customHeight="1" x14ac:dyDescent="0.25">
      <c r="A184" s="200" t="s">
        <v>765</v>
      </c>
      <c r="B184" s="46" t="s">
        <v>514</v>
      </c>
      <c r="C184" s="45">
        <v>2021</v>
      </c>
      <c r="D184" s="45">
        <v>10</v>
      </c>
      <c r="E184" s="38">
        <v>156</v>
      </c>
      <c r="F184" s="11">
        <v>100</v>
      </c>
      <c r="G184" s="199">
        <v>89.548900000000003</v>
      </c>
      <c r="H184" s="145"/>
      <c r="I184" s="1" t="s">
        <v>361</v>
      </c>
    </row>
    <row r="185" spans="1:10" ht="15.75" customHeight="1" x14ac:dyDescent="0.25">
      <c r="A185" s="200" t="s">
        <v>762</v>
      </c>
      <c r="B185" s="46" t="s">
        <v>416</v>
      </c>
      <c r="C185" s="45">
        <v>2021</v>
      </c>
      <c r="D185" s="45">
        <v>0.4</v>
      </c>
      <c r="E185" s="38">
        <v>234</v>
      </c>
      <c r="F185" s="11">
        <v>40</v>
      </c>
      <c r="G185" s="199">
        <v>360.67500000000001</v>
      </c>
      <c r="H185" s="145"/>
      <c r="I185" s="1" t="s">
        <v>415</v>
      </c>
    </row>
    <row r="186" spans="1:10" ht="15.75" customHeight="1" x14ac:dyDescent="0.25">
      <c r="A186" s="200" t="s">
        <v>761</v>
      </c>
      <c r="B186" s="46" t="s">
        <v>416</v>
      </c>
      <c r="C186" s="45">
        <v>2021</v>
      </c>
      <c r="D186" s="45">
        <v>0.4</v>
      </c>
      <c r="E186" s="38">
        <v>34</v>
      </c>
      <c r="F186" s="11"/>
      <c r="G186" s="199">
        <v>349.78699999999998</v>
      </c>
      <c r="H186" s="145"/>
      <c r="I186" s="1">
        <v>1633840.08</v>
      </c>
      <c r="J186" s="1" t="s">
        <v>501</v>
      </c>
    </row>
    <row r="187" spans="1:10" ht="15.75" customHeight="1" x14ac:dyDescent="0.25">
      <c r="A187" s="200" t="s">
        <v>760</v>
      </c>
      <c r="B187" s="46" t="s">
        <v>416</v>
      </c>
      <c r="C187" s="45">
        <v>2021</v>
      </c>
      <c r="D187" s="45">
        <v>0.4</v>
      </c>
      <c r="E187" s="38">
        <v>40</v>
      </c>
      <c r="F187" s="11"/>
      <c r="G187" s="199">
        <v>344.62</v>
      </c>
      <c r="H187" s="145"/>
    </row>
    <row r="188" spans="1:10" ht="15.75" customHeight="1" x14ac:dyDescent="0.25">
      <c r="A188" s="200" t="s">
        <v>764</v>
      </c>
      <c r="B188" s="46" t="s">
        <v>416</v>
      </c>
      <c r="C188" s="45">
        <v>2021</v>
      </c>
      <c r="D188" s="45">
        <v>0.4</v>
      </c>
      <c r="E188" s="38">
        <v>43</v>
      </c>
      <c r="F188" s="11"/>
      <c r="G188" s="199">
        <v>578.75699999999995</v>
      </c>
      <c r="H188" s="145"/>
      <c r="J188" s="1" t="s">
        <v>513</v>
      </c>
    </row>
    <row r="189" spans="1:10" ht="15.75" customHeight="1" x14ac:dyDescent="0.25">
      <c r="A189" s="200" t="s">
        <v>760</v>
      </c>
      <c r="B189" s="46" t="s">
        <v>511</v>
      </c>
      <c r="C189" s="45">
        <v>2021</v>
      </c>
      <c r="D189" s="45">
        <v>6</v>
      </c>
      <c r="E189" s="38">
        <v>266</v>
      </c>
      <c r="F189" s="11">
        <v>30</v>
      </c>
      <c r="G189" s="199">
        <v>603.80200000000002</v>
      </c>
      <c r="H189" s="145"/>
      <c r="I189" s="1" t="s">
        <v>358</v>
      </c>
      <c r="J189" s="1" t="s">
        <v>512</v>
      </c>
    </row>
    <row r="190" spans="1:10" ht="15.75" customHeight="1" x14ac:dyDescent="0.25">
      <c r="A190" s="200" t="s">
        <v>764</v>
      </c>
      <c r="B190" s="46" t="s">
        <v>511</v>
      </c>
      <c r="C190" s="45">
        <v>2021</v>
      </c>
      <c r="D190" s="45">
        <v>6</v>
      </c>
      <c r="E190" s="38">
        <v>50</v>
      </c>
      <c r="F190" s="11"/>
      <c r="G190" s="199">
        <v>750.27700000000004</v>
      </c>
      <c r="H190" s="145"/>
      <c r="J190" s="1" t="s">
        <v>510</v>
      </c>
    </row>
    <row r="191" spans="1:10" ht="15.75" customHeight="1" x14ac:dyDescent="0.25">
      <c r="A191" s="200" t="s">
        <v>762</v>
      </c>
      <c r="B191" s="46" t="s">
        <v>410</v>
      </c>
      <c r="C191" s="45">
        <v>2021</v>
      </c>
      <c r="D191" s="45">
        <v>0.4</v>
      </c>
      <c r="E191" s="38">
        <v>226</v>
      </c>
      <c r="F191" s="11">
        <v>50</v>
      </c>
      <c r="G191" s="199">
        <v>630.51400000000001</v>
      </c>
      <c r="H191" s="145"/>
      <c r="I191" s="1" t="s">
        <v>409</v>
      </c>
      <c r="J191" s="1" t="s">
        <v>501</v>
      </c>
    </row>
    <row r="192" spans="1:10" ht="15.75" customHeight="1" x14ac:dyDescent="0.25">
      <c r="A192" s="200" t="s">
        <v>761</v>
      </c>
      <c r="B192" s="46" t="s">
        <v>410</v>
      </c>
      <c r="C192" s="45">
        <v>2021</v>
      </c>
      <c r="D192" s="45">
        <v>0.4</v>
      </c>
      <c r="E192" s="38">
        <v>29</v>
      </c>
      <c r="F192" s="11"/>
      <c r="G192" s="199">
        <v>501.66500000000002</v>
      </c>
      <c r="H192" s="145"/>
    </row>
    <row r="193" spans="1:10" ht="15.75" customHeight="1" x14ac:dyDescent="0.25">
      <c r="A193" s="200" t="s">
        <v>766</v>
      </c>
      <c r="B193" s="46" t="s">
        <v>507</v>
      </c>
      <c r="C193" s="45">
        <v>2021</v>
      </c>
      <c r="D193" s="45">
        <v>0.4</v>
      </c>
      <c r="E193" s="38">
        <v>73</v>
      </c>
      <c r="F193" s="11">
        <v>30</v>
      </c>
      <c r="G193" s="199">
        <v>195.86</v>
      </c>
      <c r="H193" s="145"/>
      <c r="I193" s="1" t="s">
        <v>506</v>
      </c>
    </row>
    <row r="194" spans="1:10" ht="15.75" customHeight="1" x14ac:dyDescent="0.25">
      <c r="A194" s="200" t="s">
        <v>767</v>
      </c>
      <c r="B194" s="46" t="s">
        <v>507</v>
      </c>
      <c r="C194" s="45">
        <v>2021</v>
      </c>
      <c r="D194" s="45">
        <v>0.4</v>
      </c>
      <c r="E194" s="38">
        <v>42</v>
      </c>
      <c r="F194" s="11"/>
      <c r="G194" s="199">
        <v>587.30100000000004</v>
      </c>
      <c r="H194" s="145"/>
      <c r="I194" s="1" t="s">
        <v>506</v>
      </c>
    </row>
    <row r="195" spans="1:10" ht="15.75" customHeight="1" x14ac:dyDescent="0.25">
      <c r="A195" s="200" t="s">
        <v>762</v>
      </c>
      <c r="B195" s="46" t="s">
        <v>408</v>
      </c>
      <c r="C195" s="45">
        <v>2021</v>
      </c>
      <c r="D195" s="45">
        <v>0.4</v>
      </c>
      <c r="E195" s="38">
        <v>157</v>
      </c>
      <c r="F195" s="11">
        <v>140</v>
      </c>
      <c r="G195" s="199">
        <v>531.41899999999998</v>
      </c>
      <c r="H195" s="145"/>
      <c r="I195" s="1" t="s">
        <v>505</v>
      </c>
      <c r="J195" s="1">
        <v>23630.44</v>
      </c>
    </row>
    <row r="196" spans="1:10" ht="15.75" customHeight="1" x14ac:dyDescent="0.25">
      <c r="A196" s="200" t="s">
        <v>761</v>
      </c>
      <c r="B196" s="46" t="s">
        <v>408</v>
      </c>
      <c r="C196" s="45">
        <v>2021</v>
      </c>
      <c r="D196" s="45">
        <v>0.4</v>
      </c>
      <c r="E196" s="38">
        <v>20</v>
      </c>
      <c r="F196" s="11"/>
      <c r="G196" s="199">
        <v>238.88499999999999</v>
      </c>
      <c r="H196" s="145"/>
      <c r="I196" s="1" t="s">
        <v>501</v>
      </c>
      <c r="J196" s="1">
        <v>24904.62</v>
      </c>
    </row>
    <row r="197" spans="1:10" ht="15.75" customHeight="1" x14ac:dyDescent="0.25">
      <c r="A197" s="200" t="s">
        <v>765</v>
      </c>
      <c r="B197" s="46" t="s">
        <v>504</v>
      </c>
      <c r="C197" s="45">
        <v>2021</v>
      </c>
      <c r="D197" s="45">
        <v>6</v>
      </c>
      <c r="E197" s="38">
        <v>330</v>
      </c>
      <c r="F197" s="11">
        <v>150</v>
      </c>
      <c r="G197" s="199">
        <v>840.44</v>
      </c>
      <c r="H197" s="145"/>
      <c r="I197" s="1" t="s">
        <v>353</v>
      </c>
    </row>
    <row r="198" spans="1:10" ht="15.75" customHeight="1" x14ac:dyDescent="0.25">
      <c r="A198" s="200" t="s">
        <v>762</v>
      </c>
      <c r="B198" s="46" t="s">
        <v>502</v>
      </c>
      <c r="C198" s="45">
        <v>2021</v>
      </c>
      <c r="D198" s="45">
        <v>0.4</v>
      </c>
      <c r="E198" s="38">
        <v>180</v>
      </c>
      <c r="F198" s="11">
        <v>40</v>
      </c>
      <c r="G198" s="199">
        <v>391.59199999999998</v>
      </c>
      <c r="H198" s="145"/>
      <c r="I198" s="1" t="s">
        <v>503</v>
      </c>
    </row>
    <row r="199" spans="1:10" ht="15.75" customHeight="1" x14ac:dyDescent="0.25">
      <c r="A199" s="200" t="s">
        <v>761</v>
      </c>
      <c r="B199" s="46" t="s">
        <v>502</v>
      </c>
      <c r="C199" s="45">
        <v>2021</v>
      </c>
      <c r="D199" s="45">
        <v>0.4</v>
      </c>
      <c r="E199" s="38">
        <v>30</v>
      </c>
      <c r="F199" s="11">
        <v>40</v>
      </c>
      <c r="G199" s="199">
        <v>358.017</v>
      </c>
      <c r="H199" s="145"/>
      <c r="I199" s="1" t="s">
        <v>501</v>
      </c>
    </row>
    <row r="200" spans="1:10" ht="15.75" customHeight="1" x14ac:dyDescent="0.25">
      <c r="A200" s="200" t="s">
        <v>762</v>
      </c>
      <c r="B200" s="46" t="s">
        <v>500</v>
      </c>
      <c r="C200" s="45">
        <v>2021</v>
      </c>
      <c r="D200" s="45">
        <v>0.4</v>
      </c>
      <c r="E200" s="38">
        <v>26</v>
      </c>
      <c r="F200" s="11">
        <v>50</v>
      </c>
      <c r="G200" s="199">
        <v>113.44</v>
      </c>
      <c r="H200" s="145"/>
      <c r="I200" s="1" t="s">
        <v>417</v>
      </c>
    </row>
    <row r="201" spans="1:10" ht="15.75" customHeight="1" x14ac:dyDescent="0.25">
      <c r="A201" s="198" t="s">
        <v>762</v>
      </c>
      <c r="B201" s="44" t="s">
        <v>402</v>
      </c>
      <c r="C201" s="39">
        <v>2021</v>
      </c>
      <c r="D201" s="39">
        <v>0.4</v>
      </c>
      <c r="E201" s="38">
        <v>177</v>
      </c>
      <c r="F201" s="11">
        <v>200</v>
      </c>
      <c r="G201" s="199">
        <v>447.87599999999998</v>
      </c>
      <c r="H201" s="145"/>
      <c r="I201" s="1" t="s">
        <v>499</v>
      </c>
    </row>
    <row r="202" spans="1:10" ht="15.75" customHeight="1" x14ac:dyDescent="0.25">
      <c r="A202" s="198" t="s">
        <v>761</v>
      </c>
      <c r="B202" s="44" t="s">
        <v>402</v>
      </c>
      <c r="C202" s="39">
        <v>2021</v>
      </c>
      <c r="D202" s="39">
        <v>0.4</v>
      </c>
      <c r="E202" s="38">
        <v>123</v>
      </c>
      <c r="F202" s="11"/>
      <c r="G202" s="199">
        <v>2771.76</v>
      </c>
      <c r="H202" s="145"/>
      <c r="I202" s="1" t="s">
        <v>498</v>
      </c>
      <c r="J202" s="1" t="s">
        <v>497</v>
      </c>
    </row>
    <row r="203" spans="1:10" ht="20.100000000000001" customHeight="1" x14ac:dyDescent="0.25">
      <c r="A203" s="198" t="s">
        <v>762</v>
      </c>
      <c r="B203" s="44" t="s">
        <v>496</v>
      </c>
      <c r="C203" s="39">
        <v>2021</v>
      </c>
      <c r="D203" s="39">
        <v>6</v>
      </c>
      <c r="E203" s="38">
        <v>26</v>
      </c>
      <c r="F203" s="11">
        <v>892</v>
      </c>
      <c r="G203" s="199">
        <v>76.820300000000003</v>
      </c>
      <c r="H203" s="145"/>
      <c r="I203" s="1" t="s">
        <v>495</v>
      </c>
      <c r="J203" s="1" t="s">
        <v>494</v>
      </c>
    </row>
    <row r="204" spans="1:10" ht="20.100000000000001" customHeight="1" x14ac:dyDescent="0.25">
      <c r="A204" s="198" t="s">
        <v>762</v>
      </c>
      <c r="B204" s="40" t="s">
        <v>395</v>
      </c>
      <c r="C204" s="45">
        <v>2022</v>
      </c>
      <c r="D204" s="39">
        <v>0.4</v>
      </c>
      <c r="E204" s="38">
        <v>198</v>
      </c>
      <c r="F204" s="11">
        <v>100</v>
      </c>
      <c r="G204" s="199">
        <v>39.807885000000006</v>
      </c>
      <c r="H204" s="149"/>
    </row>
    <row r="205" spans="1:10" ht="20.100000000000001" customHeight="1" x14ac:dyDescent="0.25">
      <c r="A205" s="200" t="s">
        <v>762</v>
      </c>
      <c r="B205" s="85" t="s">
        <v>395</v>
      </c>
      <c r="C205" s="45">
        <v>2022</v>
      </c>
      <c r="D205" s="39">
        <v>0.4</v>
      </c>
      <c r="E205" s="38"/>
      <c r="F205" s="11"/>
      <c r="G205" s="199">
        <v>39.807885000000006</v>
      </c>
      <c r="H205" s="145"/>
    </row>
    <row r="206" spans="1:10" ht="20.100000000000001" customHeight="1" x14ac:dyDescent="0.25">
      <c r="A206" s="200" t="s">
        <v>762</v>
      </c>
      <c r="B206" s="85" t="s">
        <v>391</v>
      </c>
      <c r="C206" s="45">
        <v>2022</v>
      </c>
      <c r="D206" s="45">
        <v>0.4</v>
      </c>
      <c r="E206" s="86">
        <v>177</v>
      </c>
      <c r="F206" s="50">
        <v>135</v>
      </c>
      <c r="G206" s="199">
        <v>40.693985925925929</v>
      </c>
      <c r="H206" s="145"/>
    </row>
    <row r="207" spans="1:10" s="54" customFormat="1" ht="20.100000000000001" customHeight="1" x14ac:dyDescent="0.25">
      <c r="A207" s="200" t="s">
        <v>789</v>
      </c>
      <c r="B207" s="85" t="s">
        <v>96</v>
      </c>
      <c r="C207" s="45">
        <v>2022</v>
      </c>
      <c r="D207" s="45">
        <v>10</v>
      </c>
      <c r="E207" s="86">
        <v>16</v>
      </c>
      <c r="F207" s="50">
        <v>232.5</v>
      </c>
      <c r="G207" s="42">
        <v>28.41</v>
      </c>
      <c r="H207" s="227"/>
    </row>
    <row r="208" spans="1:10" s="54" customFormat="1" ht="20.100000000000001" customHeight="1" x14ac:dyDescent="0.25">
      <c r="A208" s="200" t="s">
        <v>789</v>
      </c>
      <c r="B208" s="85" t="s">
        <v>95</v>
      </c>
      <c r="C208" s="45">
        <v>2022</v>
      </c>
      <c r="D208" s="45">
        <v>10</v>
      </c>
      <c r="E208" s="86">
        <v>16</v>
      </c>
      <c r="F208" s="50"/>
      <c r="G208" s="42">
        <v>28.41</v>
      </c>
      <c r="H208" s="227"/>
    </row>
    <row r="209" spans="1:8" s="54" customFormat="1" ht="20.100000000000001" customHeight="1" x14ac:dyDescent="0.25">
      <c r="A209" s="230" t="s">
        <v>789</v>
      </c>
      <c r="B209" s="85" t="s">
        <v>94</v>
      </c>
      <c r="C209" s="231">
        <v>2022</v>
      </c>
      <c r="D209" s="45">
        <v>10</v>
      </c>
      <c r="E209" s="86">
        <v>16</v>
      </c>
      <c r="F209" s="50"/>
      <c r="G209" s="42">
        <v>9.4700000000000006</v>
      </c>
      <c r="H209" s="227"/>
    </row>
    <row r="210" spans="1:8" s="54" customFormat="1" ht="20.100000000000001" customHeight="1" x14ac:dyDescent="0.25">
      <c r="A210" s="200" t="s">
        <v>792</v>
      </c>
      <c r="B210" s="85" t="s">
        <v>96</v>
      </c>
      <c r="C210" s="45">
        <v>2022</v>
      </c>
      <c r="D210" s="45">
        <v>10</v>
      </c>
      <c r="E210" s="86">
        <v>160</v>
      </c>
      <c r="F210" s="50"/>
      <c r="G210" s="42">
        <v>51.56</v>
      </c>
      <c r="H210" s="227"/>
    </row>
    <row r="211" spans="1:8" s="54" customFormat="1" ht="20.100000000000001" customHeight="1" x14ac:dyDescent="0.25">
      <c r="A211" s="200" t="s">
        <v>792</v>
      </c>
      <c r="B211" s="85" t="s">
        <v>95</v>
      </c>
      <c r="C211" s="45">
        <v>2022</v>
      </c>
      <c r="D211" s="45">
        <v>10</v>
      </c>
      <c r="E211" s="86">
        <v>160</v>
      </c>
      <c r="F211" s="50"/>
      <c r="G211" s="42">
        <v>51.56</v>
      </c>
      <c r="H211" s="227"/>
    </row>
    <row r="212" spans="1:8" s="54" customFormat="1" ht="20.100000000000001" customHeight="1" x14ac:dyDescent="0.25">
      <c r="A212" s="230" t="s">
        <v>792</v>
      </c>
      <c r="B212" s="85" t="s">
        <v>94</v>
      </c>
      <c r="C212" s="231">
        <v>2022</v>
      </c>
      <c r="D212" s="45">
        <v>10</v>
      </c>
      <c r="E212" s="86">
        <v>160</v>
      </c>
      <c r="F212" s="50"/>
      <c r="G212" s="42">
        <v>17.190000000000001</v>
      </c>
      <c r="H212" s="227"/>
    </row>
    <row r="213" spans="1:8" ht="20.100000000000001" customHeight="1" x14ac:dyDescent="0.25">
      <c r="A213" s="223" t="s">
        <v>762</v>
      </c>
      <c r="B213" s="222" t="s">
        <v>395</v>
      </c>
      <c r="C213" s="120">
        <v>2022</v>
      </c>
      <c r="D213" s="120">
        <v>0.4</v>
      </c>
      <c r="E213" s="120">
        <v>198</v>
      </c>
      <c r="F213" s="120">
        <f>50+20+15+15</f>
        <v>100</v>
      </c>
      <c r="G213" s="121">
        <v>132.69295000000002</v>
      </c>
      <c r="H213" s="1" t="s">
        <v>711</v>
      </c>
    </row>
    <row r="214" spans="1:8" ht="20.100000000000001" customHeight="1" x14ac:dyDescent="0.25">
      <c r="A214" s="221" t="s">
        <v>762</v>
      </c>
      <c r="B214" s="86" t="s">
        <v>394</v>
      </c>
      <c r="C214" s="120">
        <v>2022</v>
      </c>
      <c r="D214" s="120"/>
      <c r="E214" s="120"/>
      <c r="F214" s="120"/>
      <c r="G214" s="121">
        <v>53.077180000000006</v>
      </c>
      <c r="H214" s="145"/>
    </row>
    <row r="215" spans="1:8" ht="20.100000000000001" customHeight="1" x14ac:dyDescent="0.25">
      <c r="A215" s="219" t="s">
        <v>762</v>
      </c>
      <c r="B215" s="86" t="s">
        <v>390</v>
      </c>
      <c r="C215" s="120">
        <v>2022</v>
      </c>
      <c r="D215" s="120">
        <v>0.4</v>
      </c>
      <c r="E215" s="120">
        <v>177</v>
      </c>
      <c r="F215" s="86">
        <f>100+30+5</f>
        <v>135</v>
      </c>
      <c r="G215" s="121">
        <v>813.87971851851864</v>
      </c>
      <c r="H215" s="145"/>
    </row>
    <row r="216" spans="1:8" ht="20.100000000000001" customHeight="1" x14ac:dyDescent="0.25">
      <c r="A216" s="219" t="s">
        <v>762</v>
      </c>
      <c r="B216" s="86" t="s">
        <v>389</v>
      </c>
      <c r="C216" s="120">
        <v>2022</v>
      </c>
      <c r="D216" s="120"/>
      <c r="E216" s="120"/>
      <c r="F216" s="86"/>
      <c r="G216" s="121">
        <v>244.16391555555558</v>
      </c>
      <c r="H216" s="145"/>
    </row>
    <row r="217" spans="1:8" ht="20.100000000000001" customHeight="1" x14ac:dyDescent="0.25">
      <c r="A217" s="219" t="s">
        <v>790</v>
      </c>
      <c r="B217" s="86" t="s">
        <v>492</v>
      </c>
      <c r="C217" s="120">
        <v>2022</v>
      </c>
      <c r="D217" s="120">
        <v>0.4</v>
      </c>
      <c r="E217" s="120">
        <v>213</v>
      </c>
      <c r="F217" s="120">
        <f>40+30+40+30</f>
        <v>140</v>
      </c>
      <c r="G217" s="121">
        <v>764.80535428571443</v>
      </c>
      <c r="H217" s="145"/>
    </row>
    <row r="218" spans="1:8" ht="20.100000000000001" customHeight="1" x14ac:dyDescent="0.25">
      <c r="A218" s="219" t="s">
        <v>790</v>
      </c>
      <c r="B218" s="86" t="s">
        <v>491</v>
      </c>
      <c r="C218" s="120">
        <v>2022</v>
      </c>
      <c r="D218" s="120"/>
      <c r="E218" s="120"/>
      <c r="F218" s="120"/>
      <c r="G218" s="121">
        <v>573.60401571428577</v>
      </c>
      <c r="H218" s="145"/>
    </row>
    <row r="219" spans="1:8" ht="20.100000000000001" customHeight="1" x14ac:dyDescent="0.25">
      <c r="A219" s="219" t="s">
        <v>790</v>
      </c>
      <c r="B219" s="86" t="s">
        <v>490</v>
      </c>
      <c r="C219" s="120">
        <v>2022</v>
      </c>
      <c r="D219" s="120"/>
      <c r="E219" s="120"/>
      <c r="F219" s="120"/>
      <c r="G219" s="121">
        <v>764.80535428571443</v>
      </c>
      <c r="H219" s="145"/>
    </row>
    <row r="220" spans="1:8" ht="20.100000000000001" customHeight="1" x14ac:dyDescent="0.25">
      <c r="A220" s="219" t="s">
        <v>790</v>
      </c>
      <c r="B220" s="86" t="s">
        <v>489</v>
      </c>
      <c r="C220" s="120">
        <v>2022</v>
      </c>
      <c r="D220" s="120"/>
      <c r="E220" s="120"/>
      <c r="F220" s="120"/>
      <c r="G220" s="121">
        <v>573.60401571428577</v>
      </c>
      <c r="H220" s="145"/>
    </row>
    <row r="221" spans="1:8" ht="20.100000000000001" customHeight="1" x14ac:dyDescent="0.25">
      <c r="A221" s="220" t="s">
        <v>762</v>
      </c>
      <c r="B221" s="86" t="s">
        <v>488</v>
      </c>
      <c r="C221" s="120">
        <v>2022</v>
      </c>
      <c r="D221" s="120">
        <v>0.4</v>
      </c>
      <c r="E221" s="120">
        <v>168</v>
      </c>
      <c r="F221" s="86">
        <v>100</v>
      </c>
      <c r="G221" s="121">
        <v>1483.5737300000001</v>
      </c>
      <c r="H221" s="145"/>
    </row>
    <row r="222" spans="1:8" ht="20.100000000000001" customHeight="1" x14ac:dyDescent="0.25">
      <c r="A222" s="220" t="s">
        <v>762</v>
      </c>
      <c r="B222" s="111" t="s">
        <v>387</v>
      </c>
      <c r="C222" s="120">
        <v>2022</v>
      </c>
      <c r="D222" s="120">
        <v>0.4</v>
      </c>
      <c r="E222" s="120">
        <v>262</v>
      </c>
      <c r="F222" s="86">
        <v>60</v>
      </c>
      <c r="G222" s="121">
        <v>2093.6139699999999</v>
      </c>
      <c r="H222" s="145"/>
    </row>
    <row r="223" spans="1:8" ht="20.100000000000001" customHeight="1" x14ac:dyDescent="0.25">
      <c r="A223" s="219" t="s">
        <v>765</v>
      </c>
      <c r="B223" s="86" t="s">
        <v>349</v>
      </c>
      <c r="C223" s="120">
        <v>2022</v>
      </c>
      <c r="D223" s="120">
        <v>6</v>
      </c>
      <c r="E223" s="120">
        <v>405</v>
      </c>
      <c r="F223" s="86">
        <f>150+100</f>
        <v>250</v>
      </c>
      <c r="G223" s="121">
        <v>2425.4265720000003</v>
      </c>
      <c r="H223" s="145"/>
    </row>
    <row r="224" spans="1:8" ht="20.100000000000001" customHeight="1" x14ac:dyDescent="0.25">
      <c r="A224" s="219" t="s">
        <v>765</v>
      </c>
      <c r="B224" s="86" t="s">
        <v>348</v>
      </c>
      <c r="C224" s="120">
        <v>2022</v>
      </c>
      <c r="D224" s="120"/>
      <c r="E224" s="120"/>
      <c r="F224" s="86"/>
      <c r="G224" s="121">
        <v>1616.9510480000001</v>
      </c>
      <c r="H224" s="145"/>
    </row>
    <row r="225" spans="1:8" ht="20.100000000000001" customHeight="1" x14ac:dyDescent="0.25">
      <c r="A225" s="220" t="s">
        <v>760</v>
      </c>
      <c r="B225" s="86" t="s">
        <v>347</v>
      </c>
      <c r="C225" s="120">
        <v>2022</v>
      </c>
      <c r="D225" s="120">
        <v>0.4</v>
      </c>
      <c r="E225" s="120">
        <v>214</v>
      </c>
      <c r="F225" s="86">
        <v>50</v>
      </c>
      <c r="G225" s="126">
        <v>746.28890999999999</v>
      </c>
      <c r="H225" s="145"/>
    </row>
    <row r="226" spans="1:8" ht="20.100000000000001" customHeight="1" x14ac:dyDescent="0.25">
      <c r="A226" s="220" t="s">
        <v>765</v>
      </c>
      <c r="B226" s="86" t="s">
        <v>347</v>
      </c>
      <c r="C226" s="120">
        <v>2022</v>
      </c>
      <c r="D226" s="120">
        <v>6</v>
      </c>
      <c r="E226" s="120">
        <v>330</v>
      </c>
      <c r="F226" s="86">
        <f>250*0.94</f>
        <v>235</v>
      </c>
      <c r="G226" s="126">
        <v>293.20091702127661</v>
      </c>
      <c r="H226" s="145"/>
    </row>
    <row r="227" spans="1:8" ht="20.100000000000001" customHeight="1" x14ac:dyDescent="0.25">
      <c r="A227" s="220" t="s">
        <v>791</v>
      </c>
      <c r="B227" s="111" t="s">
        <v>342</v>
      </c>
      <c r="C227" s="120">
        <v>2022</v>
      </c>
      <c r="D227" s="120">
        <v>10</v>
      </c>
      <c r="E227" s="120">
        <v>176</v>
      </c>
      <c r="F227" s="86">
        <f>250*0.93</f>
        <v>232.5</v>
      </c>
      <c r="G227" s="127">
        <v>799.66978064516127</v>
      </c>
      <c r="H227" s="145"/>
    </row>
    <row r="228" spans="1:8" ht="20.100000000000001" customHeight="1" x14ac:dyDescent="0.25">
      <c r="A228" s="220" t="s">
        <v>765</v>
      </c>
      <c r="B228" s="97" t="s">
        <v>340</v>
      </c>
      <c r="C228" s="120">
        <v>2022</v>
      </c>
      <c r="D228" s="120">
        <v>10</v>
      </c>
      <c r="E228" s="120">
        <v>28</v>
      </c>
      <c r="F228" s="120">
        <f>250*0.93</f>
        <v>232.5</v>
      </c>
      <c r="G228" s="121">
        <v>38.515651612903227</v>
      </c>
      <c r="H228" s="145"/>
    </row>
    <row r="229" spans="1:8" ht="20.100000000000001" customHeight="1" x14ac:dyDescent="0.25">
      <c r="A229" s="220" t="s">
        <v>762</v>
      </c>
      <c r="B229" s="97" t="s">
        <v>338</v>
      </c>
      <c r="C229" s="120">
        <v>2022</v>
      </c>
      <c r="D229" s="120">
        <v>0.4</v>
      </c>
      <c r="E229" s="120">
        <v>32.5</v>
      </c>
      <c r="F229" s="128">
        <v>100</v>
      </c>
      <c r="G229" s="129">
        <v>113.16369999999999</v>
      </c>
      <c r="H229" s="145"/>
    </row>
    <row r="230" spans="1:8" ht="20.100000000000001" customHeight="1" x14ac:dyDescent="0.25">
      <c r="A230" s="220" t="s">
        <v>765</v>
      </c>
      <c r="B230" s="97" t="s">
        <v>338</v>
      </c>
      <c r="C230" s="120">
        <v>2022</v>
      </c>
      <c r="D230" s="120">
        <v>6</v>
      </c>
      <c r="E230" s="120">
        <v>81</v>
      </c>
      <c r="F230" s="128">
        <f>160*0.94</f>
        <v>150.39999999999998</v>
      </c>
      <c r="G230" s="129">
        <v>495.93073138297876</v>
      </c>
      <c r="H230" s="145"/>
    </row>
    <row r="231" spans="1:8" ht="20.100000000000001" customHeight="1" x14ac:dyDescent="0.25">
      <c r="A231" s="220" t="s">
        <v>765</v>
      </c>
      <c r="B231" s="97" t="s">
        <v>338</v>
      </c>
      <c r="C231" s="120">
        <v>2022</v>
      </c>
      <c r="D231" s="120">
        <v>6</v>
      </c>
      <c r="E231" s="120">
        <v>91.5</v>
      </c>
      <c r="F231" s="128">
        <f>160*0.94</f>
        <v>150.39999999999998</v>
      </c>
      <c r="G231" s="129">
        <v>518.8601728723404</v>
      </c>
      <c r="H231" s="145"/>
    </row>
    <row r="232" spans="1:8" ht="20.100000000000001" customHeight="1" x14ac:dyDescent="0.25">
      <c r="A232" s="220" t="s">
        <v>762</v>
      </c>
      <c r="B232" s="97" t="s">
        <v>336</v>
      </c>
      <c r="C232" s="120">
        <v>2022</v>
      </c>
      <c r="D232" s="120">
        <v>0.4</v>
      </c>
      <c r="E232" s="120">
        <v>33</v>
      </c>
      <c r="F232" s="128">
        <v>100</v>
      </c>
      <c r="G232" s="129">
        <v>187.76763</v>
      </c>
      <c r="H232" s="145"/>
    </row>
    <row r="233" spans="1:8" ht="20.100000000000001" customHeight="1" x14ac:dyDescent="0.25">
      <c r="A233" s="220" t="s">
        <v>792</v>
      </c>
      <c r="B233" s="97" t="s">
        <v>336</v>
      </c>
      <c r="C233" s="120">
        <v>2022</v>
      </c>
      <c r="D233" s="120">
        <v>6</v>
      </c>
      <c r="E233" s="120">
        <v>215.5</v>
      </c>
      <c r="F233" s="128">
        <f>160*0.94</f>
        <v>150.39999999999998</v>
      </c>
      <c r="G233" s="129">
        <v>629.3043284574469</v>
      </c>
      <c r="H233" s="145"/>
    </row>
    <row r="234" spans="1:8" ht="20.100000000000001" customHeight="1" x14ac:dyDescent="0.25">
      <c r="A234" s="220" t="s">
        <v>762</v>
      </c>
      <c r="B234" s="97" t="s">
        <v>335</v>
      </c>
      <c r="C234" s="120">
        <v>2022</v>
      </c>
      <c r="D234" s="120">
        <v>0.4</v>
      </c>
      <c r="E234" s="120">
        <v>224</v>
      </c>
      <c r="F234" s="128">
        <v>150</v>
      </c>
      <c r="G234" s="129">
        <v>2688.7522400000003</v>
      </c>
      <c r="H234" s="145"/>
    </row>
    <row r="235" spans="1:8" ht="20.100000000000001" customHeight="1" x14ac:dyDescent="0.25">
      <c r="A235" s="219" t="s">
        <v>791</v>
      </c>
      <c r="B235" s="97" t="s">
        <v>335</v>
      </c>
      <c r="C235" s="120">
        <v>2022</v>
      </c>
      <c r="D235" s="120">
        <v>6</v>
      </c>
      <c r="E235" s="120">
        <v>497</v>
      </c>
      <c r="F235" s="128">
        <f>400*0.94</f>
        <v>376</v>
      </c>
      <c r="G235" s="130">
        <v>667.15</v>
      </c>
      <c r="H235" s="145"/>
    </row>
    <row r="236" spans="1:8" ht="20.100000000000001" customHeight="1" x14ac:dyDescent="0.25">
      <c r="A236" s="219" t="s">
        <v>791</v>
      </c>
      <c r="B236" s="97" t="s">
        <v>332</v>
      </c>
      <c r="C236" s="120">
        <v>2022</v>
      </c>
      <c r="D236" s="120">
        <v>6</v>
      </c>
      <c r="E236" s="120">
        <v>497</v>
      </c>
      <c r="F236" s="128"/>
      <c r="G236" s="130">
        <v>667.15</v>
      </c>
      <c r="H236" s="145"/>
    </row>
    <row r="237" spans="1:8" ht="20.100000000000001" customHeight="1" x14ac:dyDescent="0.25">
      <c r="A237" s="219" t="s">
        <v>793</v>
      </c>
      <c r="B237" s="97" t="s">
        <v>335</v>
      </c>
      <c r="C237" s="120">
        <v>2022</v>
      </c>
      <c r="D237" s="120">
        <v>6</v>
      </c>
      <c r="E237" s="120">
        <v>174</v>
      </c>
      <c r="F237" s="128"/>
      <c r="G237" s="130">
        <v>1719.72</v>
      </c>
      <c r="H237" s="145"/>
    </row>
    <row r="238" spans="1:8" ht="20.100000000000001" customHeight="1" thickBot="1" x14ac:dyDescent="0.3">
      <c r="A238" s="219" t="s">
        <v>793</v>
      </c>
      <c r="B238" s="97" t="s">
        <v>332</v>
      </c>
      <c r="C238" s="120">
        <v>2022</v>
      </c>
      <c r="D238" s="120">
        <v>6</v>
      </c>
      <c r="E238" s="120">
        <v>174</v>
      </c>
      <c r="F238" s="128"/>
      <c r="G238" s="130">
        <v>1719.72</v>
      </c>
      <c r="H238" s="145"/>
    </row>
    <row r="239" spans="1:8" ht="28.5" customHeight="1" x14ac:dyDescent="0.25">
      <c r="A239" s="276" t="s">
        <v>760</v>
      </c>
      <c r="B239" s="266" t="s">
        <v>1011</v>
      </c>
      <c r="C239" s="267">
        <v>2023</v>
      </c>
      <c r="D239" s="286">
        <v>0.4</v>
      </c>
      <c r="E239" s="268">
        <v>93</v>
      </c>
      <c r="F239" s="269">
        <v>5</v>
      </c>
      <c r="G239" s="277">
        <v>222.57276000000002</v>
      </c>
      <c r="H239" s="145"/>
    </row>
    <row r="240" spans="1:8" ht="25.5" customHeight="1" x14ac:dyDescent="0.25">
      <c r="A240" s="271" t="s">
        <v>762</v>
      </c>
      <c r="B240" s="266" t="s">
        <v>1007</v>
      </c>
      <c r="C240" s="120">
        <v>2023</v>
      </c>
      <c r="D240" s="111">
        <v>0.4</v>
      </c>
      <c r="E240" s="120">
        <v>46</v>
      </c>
      <c r="F240" s="97">
        <v>140</v>
      </c>
      <c r="G240" s="109">
        <v>169.90984</v>
      </c>
      <c r="H240" s="145"/>
    </row>
    <row r="241" spans="1:13" ht="27" customHeight="1" x14ac:dyDescent="0.25">
      <c r="A241" s="271" t="s">
        <v>762</v>
      </c>
      <c r="B241" s="266" t="s">
        <v>1008</v>
      </c>
      <c r="C241" s="120">
        <v>2023</v>
      </c>
      <c r="D241" s="111">
        <v>0.4</v>
      </c>
      <c r="E241" s="120">
        <v>142</v>
      </c>
      <c r="F241" s="270">
        <v>150</v>
      </c>
      <c r="G241" s="278">
        <v>727.19520999999997</v>
      </c>
      <c r="H241" s="145"/>
    </row>
    <row r="242" spans="1:13" ht="33.75" customHeight="1" x14ac:dyDescent="0.25">
      <c r="A242" s="271" t="s">
        <v>762</v>
      </c>
      <c r="B242" s="266" t="s">
        <v>1009</v>
      </c>
      <c r="C242" s="120">
        <v>2023</v>
      </c>
      <c r="D242" s="111">
        <v>0.4</v>
      </c>
      <c r="E242" s="120">
        <v>210</v>
      </c>
      <c r="F242" s="86">
        <v>40</v>
      </c>
      <c r="G242" s="42">
        <v>727.43579999999997</v>
      </c>
      <c r="H242" s="145"/>
    </row>
    <row r="243" spans="1:13" ht="33.75" customHeight="1" x14ac:dyDescent="0.25">
      <c r="A243" s="271" t="s">
        <v>762</v>
      </c>
      <c r="B243" s="266" t="s">
        <v>1010</v>
      </c>
      <c r="C243" s="120">
        <v>2023</v>
      </c>
      <c r="D243" s="111">
        <v>0.4</v>
      </c>
      <c r="E243" s="120">
        <v>110</v>
      </c>
      <c r="F243" s="97">
        <v>15</v>
      </c>
      <c r="G243" s="109">
        <v>258.19529999999997</v>
      </c>
      <c r="H243" s="145"/>
    </row>
    <row r="244" spans="1:13" ht="33.75" customHeight="1" x14ac:dyDescent="0.25">
      <c r="A244" s="271" t="s">
        <v>762</v>
      </c>
      <c r="B244" s="266" t="s">
        <v>1012</v>
      </c>
      <c r="C244" s="120">
        <v>2023</v>
      </c>
      <c r="D244" s="111">
        <v>0.4</v>
      </c>
      <c r="E244" s="120">
        <v>86</v>
      </c>
      <c r="F244" s="97">
        <v>15</v>
      </c>
      <c r="G244" s="279">
        <v>465.65007000000008</v>
      </c>
      <c r="H244" s="145"/>
    </row>
    <row r="245" spans="1:13" ht="33.75" customHeight="1" x14ac:dyDescent="0.25">
      <c r="A245" s="271" t="s">
        <v>762</v>
      </c>
      <c r="B245" s="266" t="s">
        <v>1013</v>
      </c>
      <c r="C245" s="97">
        <v>2022</v>
      </c>
      <c r="D245" s="111">
        <v>0.4</v>
      </c>
      <c r="E245" s="120">
        <v>202</v>
      </c>
      <c r="F245" s="97">
        <v>15</v>
      </c>
      <c r="G245" s="109">
        <v>265.38590000000005</v>
      </c>
      <c r="H245" s="145"/>
    </row>
    <row r="246" spans="1:13" ht="33.75" customHeight="1" x14ac:dyDescent="0.25">
      <c r="A246" s="271" t="s">
        <v>1017</v>
      </c>
      <c r="B246" s="266" t="s">
        <v>1014</v>
      </c>
      <c r="C246" s="97">
        <v>2022</v>
      </c>
      <c r="D246" s="111">
        <v>0.4</v>
      </c>
      <c r="E246" s="120">
        <v>143</v>
      </c>
      <c r="F246" s="97"/>
      <c r="G246" s="109">
        <v>562.22682000000009</v>
      </c>
      <c r="H246" s="145"/>
    </row>
    <row r="247" spans="1:13" ht="33.75" customHeight="1" x14ac:dyDescent="0.25">
      <c r="A247" s="271" t="s">
        <v>763</v>
      </c>
      <c r="B247" s="266" t="s">
        <v>1015</v>
      </c>
      <c r="C247" s="120">
        <v>2023</v>
      </c>
      <c r="D247" s="111">
        <v>0.4</v>
      </c>
      <c r="E247" s="120">
        <f>66+26</f>
        <v>92</v>
      </c>
      <c r="F247" s="97">
        <v>15</v>
      </c>
      <c r="G247" s="109">
        <v>82.456980000000001</v>
      </c>
      <c r="H247" s="145"/>
    </row>
    <row r="248" spans="1:13" ht="33.75" customHeight="1" x14ac:dyDescent="0.25">
      <c r="A248" s="271" t="s">
        <v>1018</v>
      </c>
      <c r="B248" s="266" t="s">
        <v>1016</v>
      </c>
      <c r="C248" s="120">
        <v>2023</v>
      </c>
      <c r="D248" s="111">
        <v>6</v>
      </c>
      <c r="E248" s="120">
        <v>152</v>
      </c>
      <c r="F248" s="97">
        <v>100</v>
      </c>
      <c r="G248" s="109">
        <v>433.71923400000003</v>
      </c>
      <c r="H248" s="145"/>
    </row>
    <row r="249" spans="1:13" ht="33.75" customHeight="1" x14ac:dyDescent="0.25">
      <c r="A249" s="271" t="s">
        <v>761</v>
      </c>
      <c r="B249" s="266" t="s">
        <v>1008</v>
      </c>
      <c r="C249" s="120">
        <v>2023</v>
      </c>
      <c r="D249" s="111">
        <v>0.4</v>
      </c>
      <c r="E249" s="122">
        <v>142</v>
      </c>
      <c r="F249" s="272"/>
      <c r="G249" s="278">
        <v>2346.0931800000003</v>
      </c>
      <c r="H249" s="145"/>
    </row>
    <row r="250" spans="1:13" ht="33.75" customHeight="1" thickBot="1" x14ac:dyDescent="0.3">
      <c r="A250" s="271" t="s">
        <v>761</v>
      </c>
      <c r="B250" s="266" t="s">
        <v>1012</v>
      </c>
      <c r="C250" s="273">
        <v>2022</v>
      </c>
      <c r="D250" s="111">
        <v>0.4</v>
      </c>
      <c r="E250" s="120">
        <v>58</v>
      </c>
      <c r="F250" s="97"/>
      <c r="G250" s="279">
        <v>1031.6610025</v>
      </c>
      <c r="H250" s="145"/>
    </row>
    <row r="251" spans="1:13" ht="33.75" customHeight="1" x14ac:dyDescent="0.25">
      <c r="A251" s="271" t="s">
        <v>1019</v>
      </c>
      <c r="B251" s="266" t="s">
        <v>1014</v>
      </c>
      <c r="C251" s="97">
        <v>2022</v>
      </c>
      <c r="D251" s="111">
        <v>0.4</v>
      </c>
      <c r="E251" s="249">
        <v>38</v>
      </c>
      <c r="F251" s="250">
        <v>5</v>
      </c>
      <c r="G251" s="244">
        <v>536.51080000000002</v>
      </c>
      <c r="H251" s="145"/>
    </row>
    <row r="252" spans="1:13" ht="33.75" customHeight="1" thickBot="1" x14ac:dyDescent="0.3">
      <c r="A252" s="274" t="s">
        <v>1020</v>
      </c>
      <c r="B252" s="266" t="s">
        <v>1016</v>
      </c>
      <c r="C252" s="120">
        <v>2023</v>
      </c>
      <c r="D252" s="111">
        <v>6</v>
      </c>
      <c r="E252" s="275">
        <v>46</v>
      </c>
      <c r="F252" s="116"/>
      <c r="G252" s="280">
        <v>807.32685600000002</v>
      </c>
      <c r="H252" s="145"/>
    </row>
    <row r="253" spans="1:13" ht="48.95" customHeight="1" thickBot="1" x14ac:dyDescent="0.3">
      <c r="A253" s="190">
        <v>3</v>
      </c>
      <c r="B253" s="34" t="s">
        <v>480</v>
      </c>
      <c r="C253" s="12"/>
      <c r="D253" s="12"/>
      <c r="E253" s="12"/>
      <c r="F253" s="12"/>
      <c r="G253" s="193"/>
      <c r="L253" s="185"/>
      <c r="M253" s="186"/>
    </row>
    <row r="254" spans="1:13" s="30" customFormat="1" ht="123" customHeight="1" x14ac:dyDescent="0.25">
      <c r="A254" s="192" t="s">
        <v>673</v>
      </c>
      <c r="B254" s="29" t="s">
        <v>478</v>
      </c>
      <c r="C254" s="13"/>
      <c r="D254" s="12"/>
      <c r="E254" s="12"/>
      <c r="F254" s="12"/>
      <c r="G254" s="193"/>
      <c r="H254" s="2"/>
    </row>
    <row r="255" spans="1:13" s="30" customFormat="1" ht="63" customHeight="1" x14ac:dyDescent="0.25">
      <c r="A255" s="192" t="s">
        <v>671</v>
      </c>
      <c r="B255" s="29" t="s">
        <v>476</v>
      </c>
      <c r="C255" s="13"/>
      <c r="D255" s="12"/>
      <c r="E255" s="12"/>
      <c r="F255" s="12"/>
      <c r="G255" s="193"/>
      <c r="H255" s="2"/>
    </row>
    <row r="256" spans="1:13" ht="71.45" customHeight="1" x14ac:dyDescent="0.25">
      <c r="A256" s="192" t="s">
        <v>669</v>
      </c>
      <c r="B256" s="29" t="s">
        <v>474</v>
      </c>
      <c r="C256" s="13"/>
      <c r="D256" s="12"/>
      <c r="E256" s="12"/>
      <c r="F256" s="12"/>
      <c r="G256" s="193"/>
    </row>
    <row r="257" spans="1:9" ht="19.5" customHeight="1" x14ac:dyDescent="0.25">
      <c r="A257" s="201" t="s">
        <v>768</v>
      </c>
      <c r="B257" s="37" t="s">
        <v>438</v>
      </c>
      <c r="C257" s="12">
        <v>2021</v>
      </c>
      <c r="D257" s="12">
        <v>0.4</v>
      </c>
      <c r="E257" s="12"/>
      <c r="F257" s="12">
        <v>15</v>
      </c>
      <c r="G257" s="193">
        <v>5.4098199999999999</v>
      </c>
      <c r="I257" s="1" t="s">
        <v>437</v>
      </c>
    </row>
    <row r="258" spans="1:9" ht="21.95" customHeight="1" x14ac:dyDescent="0.25">
      <c r="A258" s="201" t="s">
        <v>768</v>
      </c>
      <c r="B258" s="37" t="s">
        <v>233</v>
      </c>
      <c r="C258" s="12">
        <v>2021</v>
      </c>
      <c r="D258" s="12">
        <v>0.4</v>
      </c>
      <c r="E258" s="12"/>
      <c r="F258" s="12">
        <v>15</v>
      </c>
      <c r="G258" s="193">
        <v>13.839700000000001</v>
      </c>
      <c r="I258" s="31" t="s">
        <v>436</v>
      </c>
    </row>
    <row r="259" spans="1:9" ht="18.600000000000001" customHeight="1" x14ac:dyDescent="0.25">
      <c r="A259" s="201" t="s">
        <v>768</v>
      </c>
      <c r="B259" s="37" t="s">
        <v>234</v>
      </c>
      <c r="C259" s="12">
        <v>2021</v>
      </c>
      <c r="D259" s="12">
        <v>0.4</v>
      </c>
      <c r="E259" s="12"/>
      <c r="F259" s="12">
        <v>5</v>
      </c>
      <c r="G259" s="193">
        <v>13.5847</v>
      </c>
      <c r="I259" s="31" t="s">
        <v>435</v>
      </c>
    </row>
    <row r="260" spans="1:9" ht="20.100000000000001" customHeight="1" x14ac:dyDescent="0.25">
      <c r="A260" s="201" t="s">
        <v>768</v>
      </c>
      <c r="B260" s="37" t="s">
        <v>207</v>
      </c>
      <c r="C260" s="12">
        <v>2021</v>
      </c>
      <c r="D260" s="12">
        <v>0.4</v>
      </c>
      <c r="E260" s="12"/>
      <c r="F260" s="12">
        <v>5</v>
      </c>
      <c r="G260" s="193">
        <v>21.691199999999998</v>
      </c>
      <c r="I260" s="31" t="s">
        <v>434</v>
      </c>
    </row>
    <row r="261" spans="1:9" ht="19.5" customHeight="1" x14ac:dyDescent="0.25">
      <c r="A261" s="201" t="s">
        <v>768</v>
      </c>
      <c r="B261" s="37" t="s">
        <v>433</v>
      </c>
      <c r="C261" s="12">
        <v>2021</v>
      </c>
      <c r="D261" s="12">
        <v>0.4</v>
      </c>
      <c r="E261" s="12"/>
      <c r="F261" s="12">
        <v>5</v>
      </c>
      <c r="G261" s="193">
        <v>17.877400000000002</v>
      </c>
      <c r="I261" s="31" t="s">
        <v>432</v>
      </c>
    </row>
    <row r="262" spans="1:9" ht="15" customHeight="1" x14ac:dyDescent="0.25">
      <c r="A262" s="201" t="s">
        <v>768</v>
      </c>
      <c r="B262" s="37" t="s">
        <v>431</v>
      </c>
      <c r="C262" s="12">
        <v>2021</v>
      </c>
      <c r="D262" s="12">
        <v>0.4</v>
      </c>
      <c r="E262" s="12"/>
      <c r="F262" s="12">
        <v>5</v>
      </c>
      <c r="G262" s="193">
        <v>7.9394999999999998</v>
      </c>
      <c r="I262" s="31" t="s">
        <v>430</v>
      </c>
    </row>
    <row r="263" spans="1:9" x14ac:dyDescent="0.25">
      <c r="A263" s="201" t="s">
        <v>768</v>
      </c>
      <c r="B263" s="37" t="s">
        <v>429</v>
      </c>
      <c r="C263" s="12">
        <v>2021</v>
      </c>
      <c r="D263" s="12">
        <v>0.4</v>
      </c>
      <c r="E263" s="12"/>
      <c r="F263" s="12">
        <v>15</v>
      </c>
      <c r="G263" s="193">
        <v>3.4371800000000001</v>
      </c>
      <c r="I263" s="31" t="s">
        <v>428</v>
      </c>
    </row>
    <row r="264" spans="1:9" ht="20.100000000000001" customHeight="1" x14ac:dyDescent="0.25">
      <c r="A264" s="201" t="s">
        <v>769</v>
      </c>
      <c r="B264" s="88" t="s">
        <v>427</v>
      </c>
      <c r="C264" s="12">
        <v>2021</v>
      </c>
      <c r="D264" s="12">
        <v>0.4</v>
      </c>
      <c r="E264" s="12"/>
      <c r="F264" s="12">
        <v>100</v>
      </c>
      <c r="G264" s="193">
        <v>94.165499999999994</v>
      </c>
      <c r="I264" s="31" t="s">
        <v>426</v>
      </c>
    </row>
    <row r="265" spans="1:9" x14ac:dyDescent="0.25">
      <c r="A265" s="201" t="s">
        <v>769</v>
      </c>
      <c r="B265" s="88" t="s">
        <v>425</v>
      </c>
      <c r="C265" s="12">
        <v>2021</v>
      </c>
      <c r="D265" s="12">
        <v>0.4</v>
      </c>
      <c r="E265" s="12"/>
      <c r="F265" s="12">
        <v>130</v>
      </c>
      <c r="G265" s="193">
        <v>4.5707100000000001</v>
      </c>
      <c r="I265" s="31" t="s">
        <v>424</v>
      </c>
    </row>
    <row r="266" spans="1:9" x14ac:dyDescent="0.25">
      <c r="A266" s="201" t="s">
        <v>768</v>
      </c>
      <c r="B266" s="88" t="s">
        <v>423</v>
      </c>
      <c r="C266" s="12">
        <v>2021</v>
      </c>
      <c r="D266" s="12">
        <v>0.4</v>
      </c>
      <c r="E266" s="12"/>
      <c r="F266" s="12">
        <v>50</v>
      </c>
      <c r="G266" s="193">
        <v>9.0050100000000004</v>
      </c>
      <c r="I266" s="31" t="s">
        <v>422</v>
      </c>
    </row>
    <row r="267" spans="1:9" x14ac:dyDescent="0.25">
      <c r="A267" s="201" t="s">
        <v>771</v>
      </c>
      <c r="B267" s="88" t="s">
        <v>421</v>
      </c>
      <c r="C267" s="12">
        <v>2021</v>
      </c>
      <c r="D267" s="12">
        <v>0.4</v>
      </c>
      <c r="E267" s="12"/>
      <c r="F267" s="12">
        <v>70</v>
      </c>
      <c r="G267" s="193">
        <v>128.78399999999999</v>
      </c>
      <c r="I267" s="31" t="s">
        <v>420</v>
      </c>
    </row>
    <row r="268" spans="1:9" x14ac:dyDescent="0.25">
      <c r="A268" s="201" t="s">
        <v>769</v>
      </c>
      <c r="B268" s="88" t="s">
        <v>418</v>
      </c>
      <c r="C268" s="12">
        <v>2021</v>
      </c>
      <c r="D268" s="12">
        <v>0.4</v>
      </c>
      <c r="E268" s="12"/>
      <c r="F268" s="12">
        <v>50</v>
      </c>
      <c r="G268" s="193">
        <v>197.02500000000001</v>
      </c>
      <c r="I268" s="31" t="s">
        <v>417</v>
      </c>
    </row>
    <row r="269" spans="1:9" x14ac:dyDescent="0.25">
      <c r="A269" s="201" t="s">
        <v>770</v>
      </c>
      <c r="B269" s="88" t="s">
        <v>416</v>
      </c>
      <c r="C269" s="12">
        <v>2021</v>
      </c>
      <c r="D269" s="12">
        <v>0.4</v>
      </c>
      <c r="E269" s="12"/>
      <c r="F269" s="12">
        <v>40</v>
      </c>
      <c r="G269" s="193">
        <v>194.535</v>
      </c>
      <c r="I269" s="31" t="s">
        <v>415</v>
      </c>
    </row>
    <row r="270" spans="1:9" x14ac:dyDescent="0.25">
      <c r="A270" s="201" t="s">
        <v>768</v>
      </c>
      <c r="B270" s="88" t="s">
        <v>413</v>
      </c>
      <c r="C270" s="12">
        <v>2021</v>
      </c>
      <c r="D270" s="12">
        <v>0.4</v>
      </c>
      <c r="E270" s="12"/>
      <c r="F270" s="12">
        <v>15</v>
      </c>
      <c r="G270" s="193">
        <v>8.8510600000000004</v>
      </c>
      <c r="I270" s="31" t="s">
        <v>412</v>
      </c>
    </row>
    <row r="271" spans="1:9" ht="21.95" customHeight="1" x14ac:dyDescent="0.25">
      <c r="A271" s="201" t="s">
        <v>771</v>
      </c>
      <c r="B271" s="88" t="s">
        <v>410</v>
      </c>
      <c r="C271" s="12">
        <v>2021</v>
      </c>
      <c r="D271" s="12">
        <v>0.4</v>
      </c>
      <c r="E271" s="12"/>
      <c r="F271" s="12">
        <v>50</v>
      </c>
      <c r="G271" s="193">
        <v>78.105099999999993</v>
      </c>
      <c r="I271" s="31" t="s">
        <v>409</v>
      </c>
    </row>
    <row r="272" spans="1:9" ht="23.45" customHeight="1" x14ac:dyDescent="0.25">
      <c r="A272" s="201" t="s">
        <v>770</v>
      </c>
      <c r="B272" s="88" t="s">
        <v>408</v>
      </c>
      <c r="C272" s="12">
        <v>2021</v>
      </c>
      <c r="D272" s="12">
        <v>0.4</v>
      </c>
      <c r="E272" s="12"/>
      <c r="F272" s="12">
        <v>140</v>
      </c>
      <c r="G272" s="193">
        <v>117.131</v>
      </c>
      <c r="I272" s="31" t="s">
        <v>407</v>
      </c>
    </row>
    <row r="273" spans="1:9" ht="23.1" customHeight="1" x14ac:dyDescent="0.25">
      <c r="A273" s="201" t="s">
        <v>772</v>
      </c>
      <c r="B273" s="88" t="s">
        <v>405</v>
      </c>
      <c r="C273" s="12">
        <v>2021</v>
      </c>
      <c r="D273" s="12">
        <v>0.4</v>
      </c>
      <c r="E273" s="12"/>
      <c r="F273" s="12">
        <v>70</v>
      </c>
      <c r="G273" s="193">
        <v>106.224</v>
      </c>
      <c r="I273" s="31" t="s">
        <v>404</v>
      </c>
    </row>
    <row r="274" spans="1:9" ht="21" customHeight="1" x14ac:dyDescent="0.25">
      <c r="A274" s="201" t="s">
        <v>770</v>
      </c>
      <c r="B274" s="37" t="s">
        <v>402</v>
      </c>
      <c r="C274" s="12">
        <v>2021</v>
      </c>
      <c r="D274" s="12">
        <v>0.4</v>
      </c>
      <c r="E274" s="12"/>
      <c r="F274" s="12">
        <v>200</v>
      </c>
      <c r="G274" s="193">
        <v>130.84299999999999</v>
      </c>
      <c r="I274" s="31" t="s">
        <v>401</v>
      </c>
    </row>
    <row r="275" spans="1:9" ht="21" customHeight="1" x14ac:dyDescent="0.25">
      <c r="A275" s="224" t="s">
        <v>768</v>
      </c>
      <c r="B275" s="225" t="s">
        <v>122</v>
      </c>
      <c r="C275" s="154">
        <v>2022</v>
      </c>
      <c r="D275" s="120">
        <v>0.4</v>
      </c>
      <c r="E275" s="120"/>
      <c r="F275" s="97">
        <v>15</v>
      </c>
      <c r="G275" s="203">
        <v>7.7487899999999996</v>
      </c>
      <c r="H275" s="146"/>
      <c r="I275" s="31"/>
    </row>
    <row r="276" spans="1:9" ht="21" customHeight="1" x14ac:dyDescent="0.25">
      <c r="A276" s="224" t="s">
        <v>768</v>
      </c>
      <c r="B276" s="225" t="s">
        <v>399</v>
      </c>
      <c r="C276" s="154">
        <v>2022</v>
      </c>
      <c r="D276" s="120">
        <v>0.4</v>
      </c>
      <c r="E276" s="120"/>
      <c r="F276" s="97">
        <v>10</v>
      </c>
      <c r="G276" s="203">
        <v>8.5959799999999991</v>
      </c>
      <c r="H276" s="146"/>
      <c r="I276" s="31"/>
    </row>
    <row r="277" spans="1:9" ht="21" customHeight="1" x14ac:dyDescent="0.25">
      <c r="A277" s="224" t="s">
        <v>768</v>
      </c>
      <c r="B277" s="225" t="s">
        <v>396</v>
      </c>
      <c r="C277" s="154">
        <v>2022</v>
      </c>
      <c r="D277" s="120">
        <v>0.4</v>
      </c>
      <c r="E277" s="120"/>
      <c r="F277" s="97">
        <v>5</v>
      </c>
      <c r="G277" s="203">
        <v>12.1694</v>
      </c>
      <c r="H277" s="146"/>
      <c r="I277" s="31"/>
    </row>
    <row r="278" spans="1:9" ht="21" customHeight="1" x14ac:dyDescent="0.25">
      <c r="A278" s="224" t="s">
        <v>768</v>
      </c>
      <c r="B278" s="225" t="s">
        <v>688</v>
      </c>
      <c r="C278" s="154">
        <v>2022</v>
      </c>
      <c r="D278" s="120">
        <v>0.4</v>
      </c>
      <c r="E278" s="120" t="s">
        <v>334</v>
      </c>
      <c r="F278" s="97">
        <v>15</v>
      </c>
      <c r="G278" s="203">
        <v>1.7390204999999999</v>
      </c>
      <c r="H278" s="146"/>
      <c r="I278" s="31"/>
    </row>
    <row r="279" spans="1:9" ht="21" customHeight="1" x14ac:dyDescent="0.25">
      <c r="A279" s="224" t="s">
        <v>768</v>
      </c>
      <c r="B279" s="225" t="s">
        <v>688</v>
      </c>
      <c r="C279" s="154">
        <v>2022</v>
      </c>
      <c r="D279" s="120">
        <v>0.4</v>
      </c>
      <c r="E279" s="120"/>
      <c r="F279" s="97"/>
      <c r="G279" s="203">
        <v>1.7390204999999999</v>
      </c>
      <c r="H279" s="146"/>
      <c r="I279" s="31"/>
    </row>
    <row r="280" spans="1:9" ht="21" customHeight="1" x14ac:dyDescent="0.25">
      <c r="A280" s="224" t="s">
        <v>768</v>
      </c>
      <c r="B280" s="225" t="s">
        <v>119</v>
      </c>
      <c r="C280" s="154">
        <v>2022</v>
      </c>
      <c r="D280" s="120">
        <v>0.4</v>
      </c>
      <c r="E280" s="120"/>
      <c r="F280" s="97">
        <v>5</v>
      </c>
      <c r="G280" s="203">
        <v>6.4971800000000002</v>
      </c>
      <c r="H280" s="146"/>
      <c r="I280" s="31"/>
    </row>
    <row r="281" spans="1:9" ht="21" customHeight="1" x14ac:dyDescent="0.25">
      <c r="A281" s="224" t="s">
        <v>768</v>
      </c>
      <c r="B281" s="225" t="s">
        <v>119</v>
      </c>
      <c r="C281" s="154">
        <v>2022</v>
      </c>
      <c r="D281" s="120">
        <v>0.4</v>
      </c>
      <c r="E281" s="120"/>
      <c r="F281" s="97">
        <v>5</v>
      </c>
      <c r="G281" s="203">
        <v>6.4971800000000002</v>
      </c>
      <c r="H281" s="146"/>
      <c r="I281" s="31"/>
    </row>
    <row r="282" spans="1:9" ht="21" customHeight="1" x14ac:dyDescent="0.25">
      <c r="A282" s="224" t="s">
        <v>768</v>
      </c>
      <c r="B282" s="225" t="s">
        <v>118</v>
      </c>
      <c r="C282" s="154">
        <v>2022</v>
      </c>
      <c r="D282" s="120">
        <v>0.4</v>
      </c>
      <c r="E282" s="120"/>
      <c r="F282" s="97">
        <v>5</v>
      </c>
      <c r="G282" s="203">
        <v>6.4971800000000002</v>
      </c>
      <c r="H282" s="146"/>
      <c r="I282" s="31"/>
    </row>
    <row r="283" spans="1:9" ht="21" customHeight="1" x14ac:dyDescent="0.25">
      <c r="A283" s="224" t="s">
        <v>768</v>
      </c>
      <c r="B283" s="225" t="s">
        <v>117</v>
      </c>
      <c r="C283" s="154">
        <v>2022</v>
      </c>
      <c r="D283" s="120">
        <v>0.4</v>
      </c>
      <c r="E283" s="120"/>
      <c r="F283" s="97">
        <v>5</v>
      </c>
      <c r="G283" s="203">
        <v>6.4971800000000002</v>
      </c>
      <c r="H283" s="146"/>
      <c r="I283" s="31"/>
    </row>
    <row r="284" spans="1:9" ht="21" customHeight="1" x14ac:dyDescent="0.25">
      <c r="A284" s="224" t="s">
        <v>768</v>
      </c>
      <c r="B284" s="225" t="s">
        <v>393</v>
      </c>
      <c r="C284" s="154">
        <v>2022</v>
      </c>
      <c r="D284" s="120">
        <v>0.4</v>
      </c>
      <c r="E284" s="120"/>
      <c r="F284" s="97">
        <v>2</v>
      </c>
      <c r="G284" s="203">
        <v>6.4971800000000002</v>
      </c>
      <c r="H284" s="146"/>
      <c r="I284" s="31"/>
    </row>
    <row r="285" spans="1:9" ht="21" customHeight="1" x14ac:dyDescent="0.25">
      <c r="A285" s="224" t="s">
        <v>768</v>
      </c>
      <c r="B285" s="225" t="s">
        <v>116</v>
      </c>
      <c r="C285" s="154">
        <v>2022</v>
      </c>
      <c r="D285" s="120">
        <v>0.4</v>
      </c>
      <c r="E285" s="120"/>
      <c r="F285" s="97">
        <v>15</v>
      </c>
      <c r="G285" s="203">
        <v>13.75783</v>
      </c>
      <c r="H285" s="146"/>
      <c r="I285" s="31"/>
    </row>
    <row r="286" spans="1:9" ht="21" customHeight="1" x14ac:dyDescent="0.25">
      <c r="A286" s="224" t="s">
        <v>768</v>
      </c>
      <c r="B286" s="225" t="s">
        <v>391</v>
      </c>
      <c r="C286" s="154">
        <v>2022</v>
      </c>
      <c r="D286" s="120">
        <v>0.4</v>
      </c>
      <c r="E286" s="120"/>
      <c r="F286" s="97">
        <v>5</v>
      </c>
      <c r="G286" s="226">
        <v>5.1141007407407404</v>
      </c>
      <c r="H286" s="146"/>
      <c r="I286" s="31"/>
    </row>
    <row r="287" spans="1:9" ht="21" customHeight="1" x14ac:dyDescent="0.25">
      <c r="A287" s="131" t="s">
        <v>768</v>
      </c>
      <c r="B287" s="124" t="s">
        <v>400</v>
      </c>
      <c r="C287" s="122">
        <v>2022</v>
      </c>
      <c r="D287" s="120">
        <v>0.4</v>
      </c>
      <c r="E287" s="120"/>
      <c r="F287" s="86">
        <v>20</v>
      </c>
      <c r="G287" s="132">
        <v>18.854959999999998</v>
      </c>
      <c r="H287" s="31" t="s">
        <v>711</v>
      </c>
    </row>
    <row r="288" spans="1:9" ht="21" customHeight="1" x14ac:dyDescent="0.25">
      <c r="A288" s="131" t="s">
        <v>768</v>
      </c>
      <c r="B288" s="86" t="s">
        <v>398</v>
      </c>
      <c r="C288" s="120">
        <v>2022</v>
      </c>
      <c r="D288" s="120">
        <v>0.4</v>
      </c>
      <c r="E288" s="120"/>
      <c r="F288" s="86">
        <v>30</v>
      </c>
      <c r="G288" s="121">
        <v>7.2181800000000003</v>
      </c>
      <c r="H288" s="146"/>
      <c r="I288" s="31"/>
    </row>
    <row r="289" spans="1:13" ht="21" customHeight="1" x14ac:dyDescent="0.25">
      <c r="A289" s="131" t="s">
        <v>768</v>
      </c>
      <c r="B289" s="86" t="s">
        <v>397</v>
      </c>
      <c r="C289" s="120">
        <v>2022</v>
      </c>
      <c r="D289" s="120">
        <v>0.4</v>
      </c>
      <c r="E289" s="120"/>
      <c r="F289" s="120">
        <v>25</v>
      </c>
      <c r="G289" s="121">
        <v>12.16817</v>
      </c>
      <c r="H289" s="146"/>
      <c r="I289" s="31"/>
    </row>
    <row r="290" spans="1:13" ht="21" customHeight="1" x14ac:dyDescent="0.25">
      <c r="A290" s="152" t="s">
        <v>769</v>
      </c>
      <c r="B290" s="86" t="s">
        <v>395</v>
      </c>
      <c r="C290" s="120">
        <v>2022</v>
      </c>
      <c r="D290" s="120">
        <v>0.4</v>
      </c>
      <c r="E290" s="120"/>
      <c r="F290" s="120">
        <f>50+20+15+15</f>
        <v>100</v>
      </c>
      <c r="G290" s="121">
        <v>5.796735</v>
      </c>
      <c r="H290" s="146"/>
      <c r="I290" s="31"/>
    </row>
    <row r="291" spans="1:13" ht="21" customHeight="1" x14ac:dyDescent="0.25">
      <c r="A291" s="152" t="s">
        <v>769</v>
      </c>
      <c r="B291" s="86" t="s">
        <v>394</v>
      </c>
      <c r="C291" s="120">
        <v>2022</v>
      </c>
      <c r="D291" s="120"/>
      <c r="E291" s="120"/>
      <c r="F291" s="120"/>
      <c r="G291" s="121">
        <v>2.3186939999999998</v>
      </c>
      <c r="H291" s="146"/>
      <c r="I291" s="31"/>
    </row>
    <row r="292" spans="1:13" ht="21" customHeight="1" x14ac:dyDescent="0.25">
      <c r="A292" s="131" t="s">
        <v>768</v>
      </c>
      <c r="B292" s="86" t="s">
        <v>392</v>
      </c>
      <c r="C292" s="120">
        <v>2022</v>
      </c>
      <c r="D292" s="120">
        <v>0.4</v>
      </c>
      <c r="E292" s="120"/>
      <c r="F292" s="86">
        <v>30</v>
      </c>
      <c r="G292" s="121">
        <v>13.39476</v>
      </c>
      <c r="H292" s="146"/>
      <c r="I292" s="31"/>
    </row>
    <row r="293" spans="1:13" ht="21" customHeight="1" x14ac:dyDescent="0.25">
      <c r="A293" s="152" t="s">
        <v>769</v>
      </c>
      <c r="B293" s="86" t="s">
        <v>390</v>
      </c>
      <c r="C293" s="120">
        <v>2022</v>
      </c>
      <c r="D293" s="120">
        <v>0.4</v>
      </c>
      <c r="E293" s="120"/>
      <c r="F293" s="86">
        <f>100+30+5</f>
        <v>135</v>
      </c>
      <c r="G293" s="121">
        <v>102.28201481481481</v>
      </c>
      <c r="H293" s="146"/>
      <c r="I293" s="31"/>
    </row>
    <row r="294" spans="1:13" ht="21" customHeight="1" x14ac:dyDescent="0.25">
      <c r="A294" s="152" t="s">
        <v>769</v>
      </c>
      <c r="B294" s="86" t="s">
        <v>389</v>
      </c>
      <c r="C294" s="120">
        <v>2022</v>
      </c>
      <c r="D294" s="120"/>
      <c r="E294" s="120"/>
      <c r="F294" s="86"/>
      <c r="G294" s="121">
        <v>30.684604444444446</v>
      </c>
      <c r="H294" s="146"/>
      <c r="I294" s="31"/>
    </row>
    <row r="295" spans="1:13" ht="21" customHeight="1" x14ac:dyDescent="0.25">
      <c r="A295" s="131" t="s">
        <v>768</v>
      </c>
      <c r="B295" s="86" t="s">
        <v>388</v>
      </c>
      <c r="C295" s="120">
        <v>2022</v>
      </c>
      <c r="D295" s="120">
        <v>0.4</v>
      </c>
      <c r="E295" s="120"/>
      <c r="F295" s="120">
        <v>30</v>
      </c>
      <c r="G295" s="121">
        <v>10.178430000000001</v>
      </c>
      <c r="H295" s="146"/>
      <c r="I295" s="31"/>
    </row>
    <row r="296" spans="1:13" ht="21" customHeight="1" x14ac:dyDescent="0.25">
      <c r="A296" s="131" t="s">
        <v>768</v>
      </c>
      <c r="B296" s="111" t="s">
        <v>387</v>
      </c>
      <c r="C296" s="120">
        <v>2022</v>
      </c>
      <c r="D296" s="120">
        <v>0.4</v>
      </c>
      <c r="E296" s="120"/>
      <c r="F296" s="86">
        <v>60</v>
      </c>
      <c r="G296" s="121">
        <v>140.36476999999999</v>
      </c>
      <c r="H296" s="146"/>
      <c r="I296" s="31"/>
    </row>
    <row r="297" spans="1:13" ht="21" customHeight="1" x14ac:dyDescent="0.25">
      <c r="A297" s="131" t="s">
        <v>768</v>
      </c>
      <c r="B297" s="86" t="s">
        <v>385</v>
      </c>
      <c r="C297" s="120">
        <v>2022</v>
      </c>
      <c r="D297" s="120">
        <v>0.4</v>
      </c>
      <c r="E297" s="120"/>
      <c r="F297" s="86">
        <v>50</v>
      </c>
      <c r="G297" s="121">
        <v>10.01036</v>
      </c>
      <c r="H297" s="146"/>
      <c r="I297" s="31"/>
    </row>
    <row r="298" spans="1:13" ht="21" customHeight="1" x14ac:dyDescent="0.25">
      <c r="A298" s="263" t="s">
        <v>1005</v>
      </c>
      <c r="B298" s="222" t="s">
        <v>1003</v>
      </c>
      <c r="C298" s="120">
        <v>2023</v>
      </c>
      <c r="D298" s="232">
        <v>0.4</v>
      </c>
      <c r="E298" s="120"/>
      <c r="F298" s="104">
        <v>15</v>
      </c>
      <c r="G298" s="265">
        <v>84.271900000000002</v>
      </c>
      <c r="H298" s="146"/>
      <c r="I298" s="31"/>
      <c r="L298" s="15"/>
    </row>
    <row r="299" spans="1:13" ht="21" customHeight="1" thickBot="1" x14ac:dyDescent="0.3">
      <c r="A299" s="264" t="s">
        <v>1006</v>
      </c>
      <c r="B299" s="222" t="s">
        <v>1004</v>
      </c>
      <c r="C299" s="120">
        <v>2022</v>
      </c>
      <c r="D299" s="116">
        <v>0.4</v>
      </c>
      <c r="E299" s="120"/>
      <c r="F299" s="97">
        <v>5</v>
      </c>
      <c r="G299" s="109">
        <v>138.08072000000001</v>
      </c>
      <c r="H299" s="146"/>
      <c r="I299" s="31"/>
      <c r="L299" s="15"/>
    </row>
    <row r="300" spans="1:13" ht="47.1" customHeight="1" thickBot="1" x14ac:dyDescent="0.3">
      <c r="A300" s="190" t="s">
        <v>561</v>
      </c>
      <c r="B300" s="218" t="s">
        <v>773</v>
      </c>
      <c r="C300" s="33"/>
      <c r="D300" s="17"/>
      <c r="E300" s="17"/>
      <c r="F300" s="12"/>
      <c r="G300" s="193"/>
      <c r="H300" s="135"/>
      <c r="I300" s="31"/>
      <c r="L300" s="183"/>
      <c r="M300" s="184"/>
    </row>
    <row r="301" spans="1:13" s="30" customFormat="1" ht="72.599999999999994" customHeight="1" x14ac:dyDescent="0.25">
      <c r="A301" s="192" t="s">
        <v>559</v>
      </c>
      <c r="B301" s="29" t="s">
        <v>381</v>
      </c>
      <c r="C301" s="13"/>
      <c r="D301" s="12"/>
      <c r="E301" s="12"/>
      <c r="F301" s="12"/>
      <c r="G301" s="193"/>
      <c r="H301" s="2"/>
    </row>
    <row r="302" spans="1:13" ht="39.6" customHeight="1" x14ac:dyDescent="0.25">
      <c r="A302" s="192" t="s">
        <v>557</v>
      </c>
      <c r="B302" s="29" t="s">
        <v>326</v>
      </c>
      <c r="C302" s="13"/>
      <c r="D302" s="12"/>
      <c r="E302" s="12"/>
      <c r="F302" s="12"/>
      <c r="G302" s="193"/>
    </row>
    <row r="303" spans="1:13" ht="139.5" customHeight="1" x14ac:dyDescent="0.25">
      <c r="A303" s="192" t="s">
        <v>555</v>
      </c>
      <c r="B303" s="29" t="s">
        <v>378</v>
      </c>
      <c r="C303" s="13"/>
      <c r="D303" s="12"/>
      <c r="E303" s="12"/>
      <c r="F303" s="12"/>
      <c r="G303" s="189"/>
      <c r="H303" s="134"/>
    </row>
    <row r="304" spans="1:13" ht="39.950000000000003" customHeight="1" x14ac:dyDescent="0.25">
      <c r="A304" s="192" t="s">
        <v>553</v>
      </c>
      <c r="B304" s="29" t="s">
        <v>376</v>
      </c>
      <c r="C304" s="13"/>
      <c r="D304" s="12"/>
      <c r="E304" s="12"/>
      <c r="F304" s="12"/>
      <c r="G304" s="189"/>
      <c r="H304" s="134"/>
      <c r="I304" s="1">
        <v>171</v>
      </c>
    </row>
    <row r="305" spans="1:10" ht="22.5" customHeight="1" x14ac:dyDescent="0.25">
      <c r="A305" s="188" t="s">
        <v>775</v>
      </c>
      <c r="B305" s="20" t="s">
        <v>365</v>
      </c>
      <c r="C305" s="12">
        <v>2021</v>
      </c>
      <c r="D305" s="12">
        <v>0.4</v>
      </c>
      <c r="E305" s="12"/>
      <c r="F305" s="12">
        <v>37.6</v>
      </c>
      <c r="G305" s="193">
        <v>274.38499999999999</v>
      </c>
      <c r="I305" s="1" t="s">
        <v>364</v>
      </c>
      <c r="J305" s="1" t="s">
        <v>363</v>
      </c>
    </row>
    <row r="306" spans="1:10" ht="19.5" customHeight="1" x14ac:dyDescent="0.25">
      <c r="A306" s="188" t="s">
        <v>774</v>
      </c>
      <c r="B306" s="20" t="s">
        <v>362</v>
      </c>
      <c r="C306" s="12">
        <v>2021</v>
      </c>
      <c r="D306" s="12">
        <v>0.4</v>
      </c>
      <c r="E306" s="12"/>
      <c r="F306" s="12">
        <v>235</v>
      </c>
      <c r="G306" s="193">
        <v>1006.06</v>
      </c>
      <c r="I306" s="1" t="s">
        <v>361</v>
      </c>
      <c r="J306" s="1" t="s">
        <v>360</v>
      </c>
    </row>
    <row r="307" spans="1:10" ht="18" customHeight="1" x14ac:dyDescent="0.25">
      <c r="A307" s="188" t="s">
        <v>776</v>
      </c>
      <c r="B307" s="20" t="s">
        <v>359</v>
      </c>
      <c r="C307" s="12">
        <v>2021</v>
      </c>
      <c r="D307" s="12">
        <v>0.4</v>
      </c>
      <c r="E307" s="12"/>
      <c r="F307" s="12">
        <v>235</v>
      </c>
      <c r="G307" s="193">
        <v>977.08299999999997</v>
      </c>
      <c r="I307" s="1" t="s">
        <v>358</v>
      </c>
      <c r="J307" s="1" t="s">
        <v>357</v>
      </c>
    </row>
    <row r="308" spans="1:10" ht="18" customHeight="1" x14ac:dyDescent="0.25">
      <c r="A308" s="188" t="s">
        <v>776</v>
      </c>
      <c r="B308" s="20" t="s">
        <v>354</v>
      </c>
      <c r="C308" s="12">
        <v>2021</v>
      </c>
      <c r="D308" s="12">
        <v>0.4</v>
      </c>
      <c r="E308" s="12"/>
      <c r="F308" s="12">
        <v>150</v>
      </c>
      <c r="G308" s="193">
        <v>141.39500000000001</v>
      </c>
      <c r="I308" s="1" t="s">
        <v>353</v>
      </c>
      <c r="J308" s="1" t="s">
        <v>352</v>
      </c>
    </row>
    <row r="309" spans="1:10" ht="18" customHeight="1" x14ac:dyDescent="0.25">
      <c r="A309" s="102" t="s">
        <v>774</v>
      </c>
      <c r="B309" s="94" t="s">
        <v>100</v>
      </c>
      <c r="C309" s="95">
        <v>2022</v>
      </c>
      <c r="D309" s="96" t="s">
        <v>339</v>
      </c>
      <c r="E309" s="96" t="s">
        <v>334</v>
      </c>
      <c r="F309" s="97">
        <f>250*0.93</f>
        <v>232.5</v>
      </c>
      <c r="G309" s="202">
        <v>58.758555483870971</v>
      </c>
      <c r="H309" s="146"/>
    </row>
    <row r="310" spans="1:10" ht="18" customHeight="1" x14ac:dyDescent="0.25">
      <c r="A310" s="102" t="s">
        <v>774</v>
      </c>
      <c r="B310" s="94" t="s">
        <v>99</v>
      </c>
      <c r="C310" s="95">
        <v>2022</v>
      </c>
      <c r="D310" s="96" t="s">
        <v>339</v>
      </c>
      <c r="E310" s="96"/>
      <c r="F310" s="97"/>
      <c r="G310" s="202">
        <v>58.758555483870971</v>
      </c>
      <c r="H310" s="146"/>
    </row>
    <row r="311" spans="1:10" ht="18" customHeight="1" x14ac:dyDescent="0.25">
      <c r="A311" s="102" t="s">
        <v>777</v>
      </c>
      <c r="B311" s="94" t="s">
        <v>686</v>
      </c>
      <c r="C311" s="95">
        <v>2022</v>
      </c>
      <c r="D311" s="96" t="s">
        <v>331</v>
      </c>
      <c r="E311" s="96" t="s">
        <v>334</v>
      </c>
      <c r="F311" s="97">
        <f>400*0.94</f>
        <v>376</v>
      </c>
      <c r="G311" s="202">
        <v>23.651841702127662</v>
      </c>
      <c r="H311" s="146"/>
    </row>
    <row r="312" spans="1:10" ht="18" customHeight="1" x14ac:dyDescent="0.25">
      <c r="A312" s="102" t="s">
        <v>778</v>
      </c>
      <c r="B312" s="94" t="s">
        <v>98</v>
      </c>
      <c r="C312" s="95">
        <v>2022</v>
      </c>
      <c r="D312" s="96" t="s">
        <v>339</v>
      </c>
      <c r="E312" s="96" t="s">
        <v>334</v>
      </c>
      <c r="F312" s="97">
        <f>100*0.93</f>
        <v>93</v>
      </c>
      <c r="G312" s="202">
        <v>137.4381193548387</v>
      </c>
      <c r="H312" s="146"/>
    </row>
    <row r="313" spans="1:10" ht="18" customHeight="1" x14ac:dyDescent="0.25">
      <c r="A313" s="102" t="s">
        <v>778</v>
      </c>
      <c r="B313" s="94" t="s">
        <v>97</v>
      </c>
      <c r="C313" s="95">
        <v>2022</v>
      </c>
      <c r="D313" s="96" t="s">
        <v>339</v>
      </c>
      <c r="E313" s="96"/>
      <c r="F313" s="97"/>
      <c r="G313" s="202">
        <v>137.4381193548387</v>
      </c>
      <c r="H313" s="146"/>
    </row>
    <row r="314" spans="1:10" ht="18" customHeight="1" x14ac:dyDescent="0.25">
      <c r="A314" s="102" t="s">
        <v>774</v>
      </c>
      <c r="B314" s="94" t="s">
        <v>96</v>
      </c>
      <c r="C314" s="95">
        <v>2022</v>
      </c>
      <c r="D314" s="96" t="s">
        <v>339</v>
      </c>
      <c r="E314" s="96" t="s">
        <v>334</v>
      </c>
      <c r="F314" s="97">
        <f>250*0.93</f>
        <v>232.5</v>
      </c>
      <c r="G314" s="202">
        <v>85.336790967741933</v>
      </c>
      <c r="H314" s="146"/>
    </row>
    <row r="315" spans="1:10" ht="18" customHeight="1" x14ac:dyDescent="0.25">
      <c r="A315" s="102" t="s">
        <v>774</v>
      </c>
      <c r="B315" s="94" t="s">
        <v>95</v>
      </c>
      <c r="C315" s="95">
        <v>2022</v>
      </c>
      <c r="D315" s="96" t="s">
        <v>339</v>
      </c>
      <c r="E315" s="96"/>
      <c r="F315" s="97"/>
      <c r="G315" s="202">
        <v>85.336790967741933</v>
      </c>
      <c r="H315" s="146"/>
    </row>
    <row r="316" spans="1:10" ht="18" customHeight="1" x14ac:dyDescent="0.25">
      <c r="A316" s="102" t="s">
        <v>774</v>
      </c>
      <c r="B316" s="94" t="s">
        <v>94</v>
      </c>
      <c r="C316" s="95">
        <v>2022</v>
      </c>
      <c r="D316" s="96" t="s">
        <v>339</v>
      </c>
      <c r="E316" s="96"/>
      <c r="F316" s="97"/>
      <c r="G316" s="202">
        <v>28.44559698924731</v>
      </c>
      <c r="H316" s="146"/>
    </row>
    <row r="317" spans="1:10" ht="18" customHeight="1" x14ac:dyDescent="0.25">
      <c r="A317" s="205" t="s">
        <v>776</v>
      </c>
      <c r="B317" s="91" t="s">
        <v>350</v>
      </c>
      <c r="C317" s="87">
        <v>2022</v>
      </c>
      <c r="D317" s="87" t="s">
        <v>331</v>
      </c>
      <c r="E317" s="87" t="s">
        <v>334</v>
      </c>
      <c r="F317" s="87">
        <v>150.39999999999998</v>
      </c>
      <c r="G317" s="193">
        <v>811.24816128989369</v>
      </c>
      <c r="H317" s="146"/>
      <c r="I317" s="1" t="s">
        <v>711</v>
      </c>
    </row>
    <row r="318" spans="1:10" ht="18" customHeight="1" x14ac:dyDescent="0.25">
      <c r="A318" s="205" t="s">
        <v>776</v>
      </c>
      <c r="B318" s="91" t="s">
        <v>349</v>
      </c>
      <c r="C318" s="87">
        <v>2022</v>
      </c>
      <c r="D318" s="87" t="s">
        <v>331</v>
      </c>
      <c r="E318" s="87" t="s">
        <v>334</v>
      </c>
      <c r="F318" s="87">
        <v>250</v>
      </c>
      <c r="G318" s="193">
        <v>806.49431399999992</v>
      </c>
      <c r="H318" s="146"/>
    </row>
    <row r="319" spans="1:10" ht="18" customHeight="1" x14ac:dyDescent="0.25">
      <c r="A319" s="205" t="s">
        <v>776</v>
      </c>
      <c r="B319" s="91" t="s">
        <v>348</v>
      </c>
      <c r="C319" s="87">
        <v>2022</v>
      </c>
      <c r="D319" s="87" t="s">
        <v>331</v>
      </c>
      <c r="E319" s="87"/>
      <c r="F319" s="87"/>
      <c r="G319" s="193">
        <v>537.66287599999998</v>
      </c>
      <c r="H319" s="146"/>
    </row>
    <row r="320" spans="1:10" ht="18" customHeight="1" x14ac:dyDescent="0.25">
      <c r="A320" s="206" t="s">
        <v>776</v>
      </c>
      <c r="B320" s="20" t="s">
        <v>347</v>
      </c>
      <c r="C320" s="12">
        <v>2022</v>
      </c>
      <c r="D320" s="12" t="s">
        <v>331</v>
      </c>
      <c r="E320" s="12" t="s">
        <v>334</v>
      </c>
      <c r="F320" s="12">
        <v>235</v>
      </c>
      <c r="G320" s="193">
        <v>202.79097021276596</v>
      </c>
      <c r="H320" s="146"/>
    </row>
    <row r="321" spans="1:12" ht="18" customHeight="1" x14ac:dyDescent="0.25">
      <c r="A321" s="206" t="s">
        <v>777</v>
      </c>
      <c r="B321" s="20" t="s">
        <v>346</v>
      </c>
      <c r="C321" s="12">
        <v>2022</v>
      </c>
      <c r="D321" s="12" t="s">
        <v>331</v>
      </c>
      <c r="E321" s="12" t="s">
        <v>334</v>
      </c>
      <c r="F321" s="12">
        <v>376</v>
      </c>
      <c r="G321" s="193">
        <v>147.82401063829789</v>
      </c>
      <c r="H321" s="146"/>
    </row>
    <row r="322" spans="1:12" ht="18" customHeight="1" x14ac:dyDescent="0.25">
      <c r="A322" s="206" t="s">
        <v>777</v>
      </c>
      <c r="B322" s="20" t="s">
        <v>345</v>
      </c>
      <c r="C322" s="12">
        <v>2022</v>
      </c>
      <c r="D322" s="12" t="s">
        <v>331</v>
      </c>
      <c r="E322" s="12"/>
      <c r="F322" s="12"/>
      <c r="G322" s="193">
        <v>443.47203191489365</v>
      </c>
      <c r="H322" s="146"/>
    </row>
    <row r="323" spans="1:12" ht="18" customHeight="1" x14ac:dyDescent="0.25">
      <c r="A323" s="206" t="s">
        <v>777</v>
      </c>
      <c r="B323" s="20" t="s">
        <v>344</v>
      </c>
      <c r="C323" s="12">
        <v>2022</v>
      </c>
      <c r="D323" s="12" t="s">
        <v>331</v>
      </c>
      <c r="E323" s="12"/>
      <c r="F323" s="12"/>
      <c r="G323" s="193">
        <v>443.47203191489365</v>
      </c>
      <c r="H323" s="146"/>
    </row>
    <row r="324" spans="1:12" ht="18" customHeight="1" x14ac:dyDescent="0.25">
      <c r="A324" s="206" t="s">
        <v>779</v>
      </c>
      <c r="B324" s="20" t="s">
        <v>343</v>
      </c>
      <c r="C324" s="12">
        <v>2022</v>
      </c>
      <c r="D324" s="12">
        <v>0.4</v>
      </c>
      <c r="E324" s="12" t="s">
        <v>334</v>
      </c>
      <c r="F324" s="12">
        <v>65</v>
      </c>
      <c r="G324" s="193">
        <v>747.34202925531918</v>
      </c>
      <c r="H324" s="146"/>
    </row>
    <row r="325" spans="1:12" ht="18" customHeight="1" x14ac:dyDescent="0.25">
      <c r="A325" s="206" t="s">
        <v>774</v>
      </c>
      <c r="B325" s="20" t="s">
        <v>342</v>
      </c>
      <c r="C325" s="12">
        <v>2022</v>
      </c>
      <c r="D325" s="12">
        <v>0.4</v>
      </c>
      <c r="E325" s="12" t="s">
        <v>334</v>
      </c>
      <c r="F325" s="12">
        <v>232.5</v>
      </c>
      <c r="G325" s="193">
        <v>853.36790967741933</v>
      </c>
      <c r="H325" s="146"/>
    </row>
    <row r="326" spans="1:12" ht="18" customHeight="1" x14ac:dyDescent="0.25">
      <c r="A326" s="206" t="s">
        <v>774</v>
      </c>
      <c r="B326" s="20" t="s">
        <v>340</v>
      </c>
      <c r="C326" s="12">
        <v>2022</v>
      </c>
      <c r="D326" s="12">
        <v>0.4</v>
      </c>
      <c r="E326" s="12" t="s">
        <v>334</v>
      </c>
      <c r="F326" s="12">
        <v>232.5</v>
      </c>
      <c r="G326" s="193">
        <v>432.71317419354841</v>
      </c>
      <c r="H326" s="146"/>
    </row>
    <row r="327" spans="1:12" ht="18" customHeight="1" x14ac:dyDescent="0.25">
      <c r="A327" s="206" t="s">
        <v>776</v>
      </c>
      <c r="B327" s="20" t="s">
        <v>338</v>
      </c>
      <c r="C327" s="12">
        <v>2022</v>
      </c>
      <c r="D327" s="12">
        <v>0.4</v>
      </c>
      <c r="E327" s="12" t="s">
        <v>334</v>
      </c>
      <c r="F327" s="12">
        <v>150.39999999999998</v>
      </c>
      <c r="G327" s="193">
        <v>913.50110372340441</v>
      </c>
      <c r="H327" s="146"/>
    </row>
    <row r="328" spans="1:12" ht="18" customHeight="1" x14ac:dyDescent="0.25">
      <c r="A328" s="206" t="s">
        <v>776</v>
      </c>
      <c r="B328" s="20" t="s">
        <v>336</v>
      </c>
      <c r="C328" s="12">
        <v>2022</v>
      </c>
      <c r="D328" s="12">
        <v>0.4</v>
      </c>
      <c r="E328" s="12" t="s">
        <v>334</v>
      </c>
      <c r="F328" s="12">
        <v>150.39999999999998</v>
      </c>
      <c r="G328" s="193">
        <v>782.22705452127673</v>
      </c>
      <c r="H328" s="146"/>
    </row>
    <row r="329" spans="1:12" ht="18" customHeight="1" x14ac:dyDescent="0.25">
      <c r="A329" s="206" t="s">
        <v>777</v>
      </c>
      <c r="B329" s="20" t="s">
        <v>335</v>
      </c>
      <c r="C329" s="12">
        <v>2022</v>
      </c>
      <c r="D329" s="12" t="s">
        <v>331</v>
      </c>
      <c r="E329" s="12" t="s">
        <v>334</v>
      </c>
      <c r="F329" s="12">
        <v>376</v>
      </c>
      <c r="G329" s="193">
        <v>558.5339800531915</v>
      </c>
      <c r="H329" s="146"/>
    </row>
    <row r="330" spans="1:12" ht="18" customHeight="1" x14ac:dyDescent="0.25">
      <c r="A330" s="206" t="s">
        <v>777</v>
      </c>
      <c r="B330" s="20" t="s">
        <v>332</v>
      </c>
      <c r="C330" s="12">
        <v>2022</v>
      </c>
      <c r="D330" s="12"/>
      <c r="E330" s="12"/>
      <c r="F330" s="12"/>
      <c r="G330" s="193">
        <v>558.5339800531915</v>
      </c>
      <c r="H330" s="146"/>
    </row>
    <row r="331" spans="1:12" ht="32.25" customHeight="1" x14ac:dyDescent="0.25">
      <c r="A331" s="206" t="s">
        <v>777</v>
      </c>
      <c r="B331" s="20" t="s">
        <v>1109</v>
      </c>
      <c r="C331" s="12">
        <v>2023</v>
      </c>
      <c r="D331" s="12" t="s">
        <v>1001</v>
      </c>
      <c r="E331" s="12" t="s">
        <v>334</v>
      </c>
      <c r="F331" s="12">
        <f>250*1*0.94</f>
        <v>235</v>
      </c>
      <c r="G331" s="189">
        <v>931.98924999999997</v>
      </c>
      <c r="H331" s="146"/>
      <c r="L331" s="15"/>
    </row>
    <row r="332" spans="1:12" ht="34.5" customHeight="1" x14ac:dyDescent="0.25">
      <c r="A332" s="206" t="s">
        <v>777</v>
      </c>
      <c r="B332" s="20" t="s">
        <v>1110</v>
      </c>
      <c r="C332" s="12">
        <v>2021</v>
      </c>
      <c r="D332" s="12" t="s">
        <v>1001</v>
      </c>
      <c r="E332" s="12" t="s">
        <v>334</v>
      </c>
      <c r="F332" s="12">
        <f>400*1*0.94</f>
        <v>376</v>
      </c>
      <c r="G332" s="109">
        <v>1111.6365600000001</v>
      </c>
      <c r="H332" s="146"/>
      <c r="L332" s="15"/>
    </row>
    <row r="333" spans="1:12" ht="28.5" customHeight="1" x14ac:dyDescent="0.25">
      <c r="A333" s="206" t="s">
        <v>1002</v>
      </c>
      <c r="B333" s="20" t="s">
        <v>1111</v>
      </c>
      <c r="C333" s="12">
        <v>2023</v>
      </c>
      <c r="D333" s="12" t="s">
        <v>1000</v>
      </c>
      <c r="E333" s="12" t="s">
        <v>334</v>
      </c>
      <c r="F333" s="12">
        <f>100*1*0.93</f>
        <v>93</v>
      </c>
      <c r="G333" s="244">
        <v>914.42728</v>
      </c>
      <c r="H333" s="146"/>
      <c r="L333" s="15"/>
    </row>
    <row r="334" spans="1:12" ht="43.5" customHeight="1" x14ac:dyDescent="0.25">
      <c r="A334" s="19">
        <v>5</v>
      </c>
      <c r="B334" s="18" t="s">
        <v>330</v>
      </c>
      <c r="C334" s="12"/>
      <c r="D334" s="12"/>
      <c r="E334" s="12"/>
      <c r="F334" s="12"/>
      <c r="G334" s="193"/>
    </row>
    <row r="335" spans="1:12" ht="47.25" x14ac:dyDescent="0.25">
      <c r="A335" s="207" t="s">
        <v>479</v>
      </c>
      <c r="B335" s="14" t="s">
        <v>328</v>
      </c>
      <c r="C335" s="12"/>
      <c r="D335" s="12"/>
      <c r="E335" s="12"/>
      <c r="F335" s="12"/>
      <c r="G335" s="193"/>
    </row>
    <row r="336" spans="1:12" ht="31.5" x14ac:dyDescent="0.25">
      <c r="A336" s="207" t="s">
        <v>477</v>
      </c>
      <c r="B336" s="14" t="s">
        <v>326</v>
      </c>
      <c r="C336" s="12"/>
      <c r="D336" s="12"/>
      <c r="E336" s="12"/>
      <c r="F336" s="12"/>
      <c r="G336" s="193"/>
    </row>
    <row r="337" spans="1:11" ht="141.75" x14ac:dyDescent="0.25">
      <c r="A337" s="207" t="s">
        <v>475</v>
      </c>
      <c r="B337" s="14" t="s">
        <v>324</v>
      </c>
      <c r="C337" s="12"/>
      <c r="D337" s="12"/>
      <c r="E337" s="12"/>
      <c r="F337" s="12"/>
      <c r="G337" s="193"/>
    </row>
    <row r="338" spans="1:11" ht="18" customHeight="1" x14ac:dyDescent="0.25">
      <c r="A338" s="207" t="s">
        <v>780</v>
      </c>
      <c r="B338" s="14" t="s">
        <v>322</v>
      </c>
      <c r="C338" s="12"/>
      <c r="D338" s="12"/>
      <c r="E338" s="12"/>
      <c r="F338" s="12"/>
      <c r="G338" s="193"/>
    </row>
    <row r="339" spans="1:11" ht="31.5" x14ac:dyDescent="0.25">
      <c r="A339" s="208">
        <v>6</v>
      </c>
      <c r="B339" s="16" t="s">
        <v>321</v>
      </c>
      <c r="C339" s="12"/>
      <c r="D339" s="12"/>
      <c r="E339" s="12"/>
      <c r="F339" s="12"/>
      <c r="G339" s="193"/>
    </row>
    <row r="340" spans="1:11" ht="31.5" x14ac:dyDescent="0.25">
      <c r="A340" s="207" t="s">
        <v>382</v>
      </c>
      <c r="B340" s="14" t="s">
        <v>319</v>
      </c>
      <c r="C340" s="12"/>
      <c r="D340" s="12"/>
      <c r="E340" s="12"/>
      <c r="F340" s="12"/>
      <c r="G340" s="193"/>
    </row>
    <row r="341" spans="1:11" ht="110.25" x14ac:dyDescent="0.25">
      <c r="A341" s="207" t="s">
        <v>380</v>
      </c>
      <c r="B341" s="14" t="s">
        <v>781</v>
      </c>
      <c r="C341" s="12"/>
      <c r="D341" s="12"/>
      <c r="E341" s="12"/>
      <c r="F341" s="12"/>
      <c r="G341" s="193"/>
    </row>
    <row r="342" spans="1:11" x14ac:dyDescent="0.25">
      <c r="A342" s="207" t="s">
        <v>379</v>
      </c>
      <c r="B342" s="14" t="s">
        <v>315</v>
      </c>
      <c r="C342" s="12"/>
      <c r="D342" s="12"/>
      <c r="E342" s="12"/>
      <c r="F342" s="12"/>
      <c r="G342" s="193"/>
    </row>
    <row r="343" spans="1:11" ht="47.25" x14ac:dyDescent="0.25">
      <c r="A343" s="208">
        <v>7</v>
      </c>
      <c r="B343" s="16" t="s">
        <v>313</v>
      </c>
      <c r="C343" s="13"/>
      <c r="D343" s="12"/>
      <c r="E343" s="12"/>
      <c r="F343" s="12"/>
      <c r="G343" s="193"/>
    </row>
    <row r="344" spans="1:11" ht="33" customHeight="1" x14ac:dyDescent="0.25">
      <c r="A344" s="207" t="s">
        <v>782</v>
      </c>
      <c r="B344" s="14" t="s">
        <v>311</v>
      </c>
      <c r="C344" s="13"/>
      <c r="D344" s="12"/>
      <c r="E344" s="12"/>
      <c r="F344" s="12"/>
      <c r="G344" s="193"/>
    </row>
    <row r="345" spans="1:11" ht="35.25" customHeight="1" x14ac:dyDescent="0.25">
      <c r="A345" s="207" t="s">
        <v>783</v>
      </c>
      <c r="B345" s="14" t="s">
        <v>309</v>
      </c>
      <c r="C345" s="13"/>
      <c r="D345" s="12"/>
      <c r="E345" s="12"/>
      <c r="F345" s="12"/>
      <c r="G345" s="193"/>
      <c r="I345" s="15">
        <v>12729.13</v>
      </c>
      <c r="J345" s="1">
        <v>1000</v>
      </c>
      <c r="K345" s="1" t="e">
        <f>#REF!*J345</f>
        <v>#REF!</v>
      </c>
    </row>
    <row r="346" spans="1:11" x14ac:dyDescent="0.25">
      <c r="A346" s="207" t="s">
        <v>785</v>
      </c>
      <c r="B346" s="14" t="s">
        <v>297</v>
      </c>
      <c r="C346" s="12">
        <v>2021</v>
      </c>
      <c r="D346" s="12">
        <v>0.4</v>
      </c>
      <c r="E346" s="12"/>
      <c r="F346" s="12">
        <v>15</v>
      </c>
      <c r="G346" s="193">
        <f>22046.25/1000</f>
        <v>22.046250000000001</v>
      </c>
      <c r="I346" s="1" t="s">
        <v>296</v>
      </c>
    </row>
    <row r="347" spans="1:11" x14ac:dyDescent="0.25">
      <c r="A347" s="207" t="s">
        <v>784</v>
      </c>
      <c r="B347" s="14" t="s">
        <v>295</v>
      </c>
      <c r="C347" s="12">
        <v>2021</v>
      </c>
      <c r="D347" s="12">
        <v>0.4</v>
      </c>
      <c r="E347" s="12"/>
      <c r="F347" s="12">
        <v>5</v>
      </c>
      <c r="G347" s="193">
        <f>13092.91/1000</f>
        <v>13.09291</v>
      </c>
    </row>
    <row r="348" spans="1:11" x14ac:dyDescent="0.25">
      <c r="A348" s="207" t="s">
        <v>785</v>
      </c>
      <c r="B348" s="14" t="s">
        <v>294</v>
      </c>
      <c r="C348" s="12">
        <v>2021</v>
      </c>
      <c r="D348" s="12">
        <v>0.4</v>
      </c>
      <c r="E348" s="12"/>
      <c r="F348" s="12">
        <v>15</v>
      </c>
      <c r="G348" s="193">
        <f>23559.17/1000</f>
        <v>23.559169999999998</v>
      </c>
    </row>
    <row r="349" spans="1:11" x14ac:dyDescent="0.25">
      <c r="A349" s="207" t="s">
        <v>784</v>
      </c>
      <c r="B349" s="14" t="s">
        <v>293</v>
      </c>
      <c r="C349" s="12">
        <v>2021</v>
      </c>
      <c r="D349" s="12">
        <v>0.4</v>
      </c>
      <c r="E349" s="12"/>
      <c r="F349" s="12">
        <v>15</v>
      </c>
      <c r="G349" s="193">
        <f>23331.25/1000</f>
        <v>23.331250000000001</v>
      </c>
      <c r="I349" s="15"/>
    </row>
    <row r="350" spans="1:11" x14ac:dyDescent="0.25">
      <c r="A350" s="207" t="s">
        <v>784</v>
      </c>
      <c r="B350" s="14" t="s">
        <v>292</v>
      </c>
      <c r="C350" s="12">
        <v>2021</v>
      </c>
      <c r="D350" s="12">
        <v>0.4</v>
      </c>
      <c r="E350" s="12"/>
      <c r="F350" s="12">
        <v>5</v>
      </c>
      <c r="G350" s="193">
        <f>13029.88/1000</f>
        <v>13.029879999999999</v>
      </c>
    </row>
    <row r="351" spans="1:11" x14ac:dyDescent="0.25">
      <c r="A351" s="207" t="s">
        <v>784</v>
      </c>
      <c r="B351" s="14" t="s">
        <v>291</v>
      </c>
      <c r="C351" s="12">
        <v>2021</v>
      </c>
      <c r="D351" s="12">
        <v>0.4</v>
      </c>
      <c r="E351" s="12"/>
      <c r="F351" s="12">
        <v>5</v>
      </c>
      <c r="G351" s="193">
        <f>13075.41/1000</f>
        <v>13.07541</v>
      </c>
    </row>
    <row r="352" spans="1:11" x14ac:dyDescent="0.25">
      <c r="A352" s="207" t="s">
        <v>785</v>
      </c>
      <c r="B352" s="14" t="s">
        <v>290</v>
      </c>
      <c r="C352" s="12">
        <v>2021</v>
      </c>
      <c r="D352" s="12">
        <v>0.4</v>
      </c>
      <c r="E352" s="12"/>
      <c r="F352" s="12">
        <v>15</v>
      </c>
      <c r="G352" s="193">
        <f>23218.75/1000</f>
        <v>23.21875</v>
      </c>
    </row>
    <row r="353" spans="1:7" x14ac:dyDescent="0.25">
      <c r="A353" s="207" t="s">
        <v>784</v>
      </c>
      <c r="B353" s="14" t="s">
        <v>289</v>
      </c>
      <c r="C353" s="12">
        <v>2021</v>
      </c>
      <c r="D353" s="12">
        <v>0.4</v>
      </c>
      <c r="E353" s="12"/>
      <c r="F353" s="12">
        <v>5</v>
      </c>
      <c r="G353" s="193">
        <f>13259.99/1000</f>
        <v>13.25999</v>
      </c>
    </row>
    <row r="354" spans="1:7" x14ac:dyDescent="0.25">
      <c r="A354" s="207" t="s">
        <v>785</v>
      </c>
      <c r="B354" s="14" t="s">
        <v>288</v>
      </c>
      <c r="C354" s="12">
        <v>2021</v>
      </c>
      <c r="D354" s="12">
        <v>0.4</v>
      </c>
      <c r="E354" s="12"/>
      <c r="F354" s="12">
        <v>15</v>
      </c>
      <c r="G354" s="193">
        <f>21174.17/1000</f>
        <v>21.174169999999997</v>
      </c>
    </row>
    <row r="355" spans="1:7" x14ac:dyDescent="0.25">
      <c r="A355" s="207" t="s">
        <v>785</v>
      </c>
      <c r="B355" s="14" t="s">
        <v>287</v>
      </c>
      <c r="C355" s="12">
        <v>2021</v>
      </c>
      <c r="D355" s="12">
        <v>0.4</v>
      </c>
      <c r="E355" s="12"/>
      <c r="F355" s="12">
        <v>15</v>
      </c>
      <c r="G355" s="193">
        <f>23277.08/1000</f>
        <v>23.277080000000002</v>
      </c>
    </row>
    <row r="356" spans="1:7" x14ac:dyDescent="0.25">
      <c r="A356" s="207" t="s">
        <v>785</v>
      </c>
      <c r="B356" s="14" t="s">
        <v>286</v>
      </c>
      <c r="C356" s="12">
        <v>2021</v>
      </c>
      <c r="D356" s="12">
        <v>0.4</v>
      </c>
      <c r="E356" s="12"/>
      <c r="F356" s="12">
        <v>15</v>
      </c>
      <c r="G356" s="193">
        <f>23576.66/1000</f>
        <v>23.57666</v>
      </c>
    </row>
    <row r="357" spans="1:7" x14ac:dyDescent="0.25">
      <c r="A357" s="207" t="s">
        <v>784</v>
      </c>
      <c r="B357" s="14" t="s">
        <v>132</v>
      </c>
      <c r="C357" s="12">
        <v>2021</v>
      </c>
      <c r="D357" s="12">
        <v>0.4</v>
      </c>
      <c r="E357" s="12"/>
      <c r="F357" s="12">
        <v>5</v>
      </c>
      <c r="G357" s="193">
        <f>16339.79/1000</f>
        <v>16.339790000000001</v>
      </c>
    </row>
    <row r="358" spans="1:7" x14ac:dyDescent="0.25">
      <c r="A358" s="207" t="s">
        <v>784</v>
      </c>
      <c r="B358" s="14" t="s">
        <v>285</v>
      </c>
      <c r="C358" s="12">
        <v>2021</v>
      </c>
      <c r="D358" s="12">
        <v>0.4</v>
      </c>
      <c r="E358" s="12"/>
      <c r="F358" s="12">
        <v>5</v>
      </c>
      <c r="G358" s="193">
        <f>12942.51/1000</f>
        <v>12.94251</v>
      </c>
    </row>
    <row r="359" spans="1:7" x14ac:dyDescent="0.25">
      <c r="A359" s="207" t="s">
        <v>785</v>
      </c>
      <c r="B359" s="14" t="s">
        <v>284</v>
      </c>
      <c r="C359" s="12">
        <v>2021</v>
      </c>
      <c r="D359" s="12">
        <v>0.4</v>
      </c>
      <c r="E359" s="12"/>
      <c r="F359" s="12">
        <v>15</v>
      </c>
      <c r="G359" s="193">
        <f>19999.58/1000</f>
        <v>19.999580000000002</v>
      </c>
    </row>
    <row r="360" spans="1:7" x14ac:dyDescent="0.25">
      <c r="A360" s="207" t="s">
        <v>785</v>
      </c>
      <c r="B360" s="14" t="s">
        <v>283</v>
      </c>
      <c r="C360" s="12">
        <v>2021</v>
      </c>
      <c r="D360" s="12">
        <v>0.4</v>
      </c>
      <c r="E360" s="12"/>
      <c r="F360" s="12">
        <v>15</v>
      </c>
      <c r="G360" s="193">
        <f>23366.24/1000</f>
        <v>23.366240000000001</v>
      </c>
    </row>
    <row r="361" spans="1:7" x14ac:dyDescent="0.25">
      <c r="A361" s="207" t="s">
        <v>785</v>
      </c>
      <c r="B361" s="14" t="s">
        <v>282</v>
      </c>
      <c r="C361" s="12">
        <v>2021</v>
      </c>
      <c r="D361" s="12">
        <v>0.4</v>
      </c>
      <c r="E361" s="12"/>
      <c r="F361" s="12">
        <v>14</v>
      </c>
      <c r="G361" s="193">
        <f>21400.84/1000</f>
        <v>21.400839999999999</v>
      </c>
    </row>
    <row r="362" spans="1:7" x14ac:dyDescent="0.25">
      <c r="A362" s="207" t="s">
        <v>785</v>
      </c>
      <c r="B362" s="14" t="s">
        <v>281</v>
      </c>
      <c r="C362" s="12">
        <v>2021</v>
      </c>
      <c r="D362" s="12">
        <v>0.4</v>
      </c>
      <c r="E362" s="12"/>
      <c r="F362" s="12">
        <v>15</v>
      </c>
      <c r="G362" s="193">
        <f>21460.83/1000</f>
        <v>21.460830000000001</v>
      </c>
    </row>
    <row r="363" spans="1:7" x14ac:dyDescent="0.25">
      <c r="A363" s="207" t="s">
        <v>785</v>
      </c>
      <c r="B363" s="14" t="s">
        <v>280</v>
      </c>
      <c r="C363" s="12">
        <v>2021</v>
      </c>
      <c r="D363" s="12">
        <v>0.4</v>
      </c>
      <c r="E363" s="12"/>
      <c r="F363" s="12">
        <v>15</v>
      </c>
      <c r="G363" s="193">
        <v>23.460699999999999</v>
      </c>
    </row>
    <row r="364" spans="1:7" x14ac:dyDescent="0.25">
      <c r="A364" s="207" t="s">
        <v>785</v>
      </c>
      <c r="B364" s="14" t="s">
        <v>279</v>
      </c>
      <c r="C364" s="12">
        <v>2021</v>
      </c>
      <c r="D364" s="12">
        <v>0.4</v>
      </c>
      <c r="E364" s="12"/>
      <c r="F364" s="12">
        <v>15</v>
      </c>
      <c r="G364" s="193">
        <v>13.135400000000001</v>
      </c>
    </row>
    <row r="365" spans="1:7" x14ac:dyDescent="0.25">
      <c r="A365" s="207" t="s">
        <v>784</v>
      </c>
      <c r="B365" s="14" t="s">
        <v>278</v>
      </c>
      <c r="C365" s="12">
        <v>2021</v>
      </c>
      <c r="D365" s="12">
        <v>0.4</v>
      </c>
      <c r="E365" s="12"/>
      <c r="F365" s="12">
        <v>5</v>
      </c>
      <c r="G365" s="193">
        <v>7.3806700000000003</v>
      </c>
    </row>
    <row r="366" spans="1:7" x14ac:dyDescent="0.25">
      <c r="A366" s="207" t="s">
        <v>785</v>
      </c>
      <c r="B366" s="14" t="s">
        <v>277</v>
      </c>
      <c r="C366" s="12">
        <v>2021</v>
      </c>
      <c r="D366" s="12">
        <v>0.4</v>
      </c>
      <c r="E366" s="12"/>
      <c r="F366" s="12">
        <v>15</v>
      </c>
      <c r="G366" s="193">
        <v>26.1264</v>
      </c>
    </row>
    <row r="367" spans="1:7" x14ac:dyDescent="0.25">
      <c r="A367" s="207" t="s">
        <v>784</v>
      </c>
      <c r="B367" s="14" t="s">
        <v>276</v>
      </c>
      <c r="C367" s="12">
        <v>2021</v>
      </c>
      <c r="D367" s="12">
        <v>0.4</v>
      </c>
      <c r="E367" s="12"/>
      <c r="F367" s="12">
        <v>10</v>
      </c>
      <c r="G367" s="193">
        <v>13.1447</v>
      </c>
    </row>
    <row r="368" spans="1:7" x14ac:dyDescent="0.25">
      <c r="A368" s="207" t="s">
        <v>784</v>
      </c>
      <c r="B368" s="14" t="s">
        <v>275</v>
      </c>
      <c r="C368" s="12">
        <v>2021</v>
      </c>
      <c r="D368" s="12">
        <v>0.4</v>
      </c>
      <c r="E368" s="12"/>
      <c r="F368" s="12">
        <v>5</v>
      </c>
      <c r="G368" s="193">
        <v>13.1892</v>
      </c>
    </row>
    <row r="369" spans="1:7" x14ac:dyDescent="0.25">
      <c r="A369" s="207" t="s">
        <v>785</v>
      </c>
      <c r="B369" s="14" t="s">
        <v>274</v>
      </c>
      <c r="C369" s="12">
        <v>2021</v>
      </c>
      <c r="D369" s="12">
        <v>0.4</v>
      </c>
      <c r="E369" s="12"/>
      <c r="F369" s="12">
        <v>15</v>
      </c>
      <c r="G369" s="193">
        <v>23.023700000000002</v>
      </c>
    </row>
    <row r="370" spans="1:7" x14ac:dyDescent="0.25">
      <c r="A370" s="207" t="s">
        <v>784</v>
      </c>
      <c r="B370" s="14" t="s">
        <v>273</v>
      </c>
      <c r="C370" s="12">
        <v>2021</v>
      </c>
      <c r="D370" s="12">
        <v>0.4</v>
      </c>
      <c r="E370" s="12"/>
      <c r="F370" s="12">
        <v>5</v>
      </c>
      <c r="G370" s="193">
        <v>13.032500000000001</v>
      </c>
    </row>
    <row r="371" spans="1:7" x14ac:dyDescent="0.25">
      <c r="A371" s="207" t="s">
        <v>785</v>
      </c>
      <c r="B371" s="14" t="s">
        <v>272</v>
      </c>
      <c r="C371" s="12">
        <v>2021</v>
      </c>
      <c r="D371" s="12">
        <v>0.4</v>
      </c>
      <c r="E371" s="12"/>
      <c r="F371" s="12">
        <v>15</v>
      </c>
      <c r="G371" s="193">
        <v>13.0221</v>
      </c>
    </row>
    <row r="372" spans="1:7" x14ac:dyDescent="0.25">
      <c r="A372" s="207" t="s">
        <v>785</v>
      </c>
      <c r="B372" s="14" t="s">
        <v>271</v>
      </c>
      <c r="C372" s="12">
        <v>2021</v>
      </c>
      <c r="D372" s="12">
        <v>0.4</v>
      </c>
      <c r="E372" s="12"/>
      <c r="F372" s="12">
        <v>15</v>
      </c>
      <c r="G372" s="193">
        <v>23.688600000000001</v>
      </c>
    </row>
    <row r="373" spans="1:7" x14ac:dyDescent="0.25">
      <c r="A373" s="207" t="s">
        <v>785</v>
      </c>
      <c r="B373" s="14" t="s">
        <v>270</v>
      </c>
      <c r="C373" s="12">
        <v>2021</v>
      </c>
      <c r="D373" s="12">
        <v>0.4</v>
      </c>
      <c r="E373" s="12"/>
      <c r="F373" s="12">
        <v>15</v>
      </c>
      <c r="G373" s="193">
        <v>23.443300000000001</v>
      </c>
    </row>
    <row r="374" spans="1:7" x14ac:dyDescent="0.25">
      <c r="A374" s="207" t="s">
        <v>784</v>
      </c>
      <c r="B374" s="14" t="s">
        <v>269</v>
      </c>
      <c r="C374" s="12">
        <v>2021</v>
      </c>
      <c r="D374" s="12">
        <v>0.4</v>
      </c>
      <c r="E374" s="12"/>
      <c r="F374" s="12">
        <v>5</v>
      </c>
      <c r="G374" s="193">
        <v>13.2441</v>
      </c>
    </row>
    <row r="375" spans="1:7" x14ac:dyDescent="0.25">
      <c r="A375" s="207" t="s">
        <v>785</v>
      </c>
      <c r="B375" s="14" t="s">
        <v>268</v>
      </c>
      <c r="C375" s="12">
        <v>2021</v>
      </c>
      <c r="D375" s="12">
        <v>0.4</v>
      </c>
      <c r="E375" s="12"/>
      <c r="F375" s="12">
        <v>15</v>
      </c>
      <c r="G375" s="193">
        <v>23.572099999999999</v>
      </c>
    </row>
    <row r="376" spans="1:7" x14ac:dyDescent="0.25">
      <c r="A376" s="207" t="s">
        <v>784</v>
      </c>
      <c r="B376" s="14" t="s">
        <v>267</v>
      </c>
      <c r="C376" s="12">
        <v>2021</v>
      </c>
      <c r="D376" s="12">
        <v>0.4</v>
      </c>
      <c r="E376" s="12"/>
      <c r="F376" s="12">
        <v>5</v>
      </c>
      <c r="G376" s="193">
        <v>13.117900000000001</v>
      </c>
    </row>
    <row r="377" spans="1:7" x14ac:dyDescent="0.25">
      <c r="A377" s="207" t="s">
        <v>785</v>
      </c>
      <c r="B377" s="14" t="s">
        <v>266</v>
      </c>
      <c r="C377" s="12">
        <v>2021</v>
      </c>
      <c r="D377" s="12">
        <v>0.4</v>
      </c>
      <c r="E377" s="12"/>
      <c r="F377" s="12">
        <v>15</v>
      </c>
      <c r="G377" s="193">
        <v>23.227900000000002</v>
      </c>
    </row>
    <row r="378" spans="1:7" x14ac:dyDescent="0.25">
      <c r="A378" s="207" t="s">
        <v>785</v>
      </c>
      <c r="B378" s="14" t="s">
        <v>265</v>
      </c>
      <c r="C378" s="12">
        <v>2021</v>
      </c>
      <c r="D378" s="12">
        <v>0.4</v>
      </c>
      <c r="E378" s="12"/>
      <c r="F378" s="12">
        <v>15</v>
      </c>
      <c r="G378" s="193">
        <v>23.612500000000001</v>
      </c>
    </row>
    <row r="379" spans="1:7" x14ac:dyDescent="0.25">
      <c r="A379" s="207" t="s">
        <v>784</v>
      </c>
      <c r="B379" s="14" t="s">
        <v>264</v>
      </c>
      <c r="C379" s="12">
        <v>2021</v>
      </c>
      <c r="D379" s="12">
        <v>0.4</v>
      </c>
      <c r="E379" s="12"/>
      <c r="F379" s="12">
        <v>7</v>
      </c>
      <c r="G379" s="193">
        <v>13.152900000000001</v>
      </c>
    </row>
    <row r="380" spans="1:7" x14ac:dyDescent="0.25">
      <c r="A380" s="207" t="s">
        <v>785</v>
      </c>
      <c r="B380" s="14" t="s">
        <v>263</v>
      </c>
      <c r="C380" s="12">
        <v>2021</v>
      </c>
      <c r="D380" s="12">
        <v>0.4</v>
      </c>
      <c r="E380" s="12"/>
      <c r="F380" s="12">
        <v>15</v>
      </c>
      <c r="G380" s="193">
        <v>23.3095</v>
      </c>
    </row>
    <row r="381" spans="1:7" x14ac:dyDescent="0.25">
      <c r="A381" s="207" t="s">
        <v>785</v>
      </c>
      <c r="B381" s="14" t="s">
        <v>262</v>
      </c>
      <c r="C381" s="12">
        <v>2021</v>
      </c>
      <c r="D381" s="12">
        <v>0.4</v>
      </c>
      <c r="E381" s="12"/>
      <c r="F381" s="12">
        <v>15</v>
      </c>
      <c r="G381" s="193">
        <v>23.222100000000001</v>
      </c>
    </row>
    <row r="382" spans="1:7" x14ac:dyDescent="0.25">
      <c r="A382" s="207" t="s">
        <v>784</v>
      </c>
      <c r="B382" s="14" t="s">
        <v>261</v>
      </c>
      <c r="C382" s="12">
        <v>2021</v>
      </c>
      <c r="D382" s="12">
        <v>0.4</v>
      </c>
      <c r="E382" s="12"/>
      <c r="F382" s="12">
        <v>5</v>
      </c>
      <c r="G382" s="193">
        <v>13.3332</v>
      </c>
    </row>
    <row r="383" spans="1:7" x14ac:dyDescent="0.25">
      <c r="A383" s="207" t="s">
        <v>785</v>
      </c>
      <c r="B383" s="14" t="s">
        <v>260</v>
      </c>
      <c r="C383" s="12">
        <v>2021</v>
      </c>
      <c r="D383" s="12">
        <v>0.4</v>
      </c>
      <c r="E383" s="12"/>
      <c r="F383" s="12">
        <v>5</v>
      </c>
      <c r="G383" s="193">
        <v>13.171200000000001</v>
      </c>
    </row>
    <row r="384" spans="1:7" x14ac:dyDescent="0.25">
      <c r="A384" s="207" t="s">
        <v>785</v>
      </c>
      <c r="B384" s="14" t="s">
        <v>259</v>
      </c>
      <c r="C384" s="12">
        <v>2021</v>
      </c>
      <c r="D384" s="12">
        <v>0.4</v>
      </c>
      <c r="E384" s="12"/>
      <c r="F384" s="12">
        <v>15</v>
      </c>
      <c r="G384" s="193">
        <v>24.479600000000001</v>
      </c>
    </row>
    <row r="385" spans="1:7" x14ac:dyDescent="0.25">
      <c r="A385" s="207" t="s">
        <v>785</v>
      </c>
      <c r="B385" s="14" t="s">
        <v>258</v>
      </c>
      <c r="C385" s="12">
        <v>2021</v>
      </c>
      <c r="D385" s="12">
        <v>0.4</v>
      </c>
      <c r="E385" s="12"/>
      <c r="F385" s="12">
        <v>15</v>
      </c>
      <c r="G385" s="193">
        <v>23.3095</v>
      </c>
    </row>
    <row r="386" spans="1:7" x14ac:dyDescent="0.25">
      <c r="A386" s="207" t="s">
        <v>785</v>
      </c>
      <c r="B386" s="14" t="s">
        <v>257</v>
      </c>
      <c r="C386" s="12">
        <v>2021</v>
      </c>
      <c r="D386" s="12">
        <v>0.4</v>
      </c>
      <c r="E386" s="12"/>
      <c r="F386" s="12">
        <v>15</v>
      </c>
      <c r="G386" s="193">
        <v>23.6511</v>
      </c>
    </row>
    <row r="387" spans="1:7" x14ac:dyDescent="0.25">
      <c r="A387" s="207" t="s">
        <v>784</v>
      </c>
      <c r="B387" s="14" t="s">
        <v>256</v>
      </c>
      <c r="C387" s="12">
        <v>2021</v>
      </c>
      <c r="D387" s="12">
        <v>0.4</v>
      </c>
      <c r="E387" s="12"/>
      <c r="F387" s="12">
        <v>5</v>
      </c>
      <c r="G387" s="193">
        <v>13.167899999999999</v>
      </c>
    </row>
    <row r="388" spans="1:7" x14ac:dyDescent="0.25">
      <c r="A388" s="207" t="s">
        <v>785</v>
      </c>
      <c r="B388" s="14" t="s">
        <v>255</v>
      </c>
      <c r="C388" s="12">
        <v>2021</v>
      </c>
      <c r="D388" s="12">
        <v>0.4</v>
      </c>
      <c r="E388" s="12"/>
      <c r="F388" s="12">
        <v>15</v>
      </c>
      <c r="G388" s="193">
        <v>13.196199999999999</v>
      </c>
    </row>
    <row r="389" spans="1:7" x14ac:dyDescent="0.25">
      <c r="A389" s="207" t="s">
        <v>785</v>
      </c>
      <c r="B389" s="14" t="s">
        <v>254</v>
      </c>
      <c r="C389" s="12">
        <v>2021</v>
      </c>
      <c r="D389" s="12">
        <v>0.4</v>
      </c>
      <c r="E389" s="12"/>
      <c r="F389" s="12">
        <v>15</v>
      </c>
      <c r="G389" s="193">
        <v>23.367899999999999</v>
      </c>
    </row>
    <row r="390" spans="1:7" x14ac:dyDescent="0.25">
      <c r="A390" s="207" t="s">
        <v>784</v>
      </c>
      <c r="B390" s="14" t="s">
        <v>253</v>
      </c>
      <c r="C390" s="12">
        <v>2021</v>
      </c>
      <c r="D390" s="12">
        <v>0.4</v>
      </c>
      <c r="E390" s="12"/>
      <c r="F390" s="12">
        <v>5</v>
      </c>
      <c r="G390" s="193">
        <v>12.561299999999999</v>
      </c>
    </row>
    <row r="391" spans="1:7" x14ac:dyDescent="0.25">
      <c r="A391" s="207" t="s">
        <v>785</v>
      </c>
      <c r="B391" s="14" t="s">
        <v>252</v>
      </c>
      <c r="C391" s="12">
        <v>2021</v>
      </c>
      <c r="D391" s="12">
        <v>0.4</v>
      </c>
      <c r="E391" s="12"/>
      <c r="F391" s="12">
        <v>15</v>
      </c>
      <c r="G391" s="193">
        <v>22.242899999999999</v>
      </c>
    </row>
    <row r="392" spans="1:7" x14ac:dyDescent="0.25">
      <c r="A392" s="207" t="s">
        <v>785</v>
      </c>
      <c r="B392" s="14" t="s">
        <v>251</v>
      </c>
      <c r="C392" s="12">
        <v>2021</v>
      </c>
      <c r="D392" s="12">
        <v>0.4</v>
      </c>
      <c r="E392" s="12"/>
      <c r="F392" s="12">
        <v>15</v>
      </c>
      <c r="G392" s="193">
        <v>23.5779</v>
      </c>
    </row>
    <row r="393" spans="1:7" x14ac:dyDescent="0.25">
      <c r="A393" s="207" t="s">
        <v>785</v>
      </c>
      <c r="B393" s="14" t="s">
        <v>250</v>
      </c>
      <c r="C393" s="12">
        <v>2021</v>
      </c>
      <c r="D393" s="12">
        <v>0.4</v>
      </c>
      <c r="E393" s="12"/>
      <c r="F393" s="12">
        <v>15</v>
      </c>
      <c r="G393" s="193">
        <v>23.3337</v>
      </c>
    </row>
    <row r="394" spans="1:7" x14ac:dyDescent="0.25">
      <c r="A394" s="207" t="s">
        <v>785</v>
      </c>
      <c r="B394" s="14" t="s">
        <v>249</v>
      </c>
      <c r="C394" s="12">
        <v>2021</v>
      </c>
      <c r="D394" s="12">
        <v>0.4</v>
      </c>
      <c r="E394" s="12"/>
      <c r="F394" s="12">
        <v>15</v>
      </c>
      <c r="G394" s="193">
        <v>23.1663</v>
      </c>
    </row>
    <row r="395" spans="1:7" x14ac:dyDescent="0.25">
      <c r="A395" s="207" t="s">
        <v>785</v>
      </c>
      <c r="B395" s="14" t="s">
        <v>248</v>
      </c>
      <c r="C395" s="12">
        <v>2021</v>
      </c>
      <c r="D395" s="12">
        <v>0.4</v>
      </c>
      <c r="E395" s="12"/>
      <c r="F395" s="12">
        <v>15</v>
      </c>
      <c r="G395" s="193">
        <v>23.3688</v>
      </c>
    </row>
    <row r="396" spans="1:7" x14ac:dyDescent="0.25">
      <c r="A396" s="207" t="s">
        <v>784</v>
      </c>
      <c r="B396" s="14" t="s">
        <v>247</v>
      </c>
      <c r="C396" s="12">
        <v>2021</v>
      </c>
      <c r="D396" s="12">
        <v>0.4</v>
      </c>
      <c r="E396" s="12"/>
      <c r="F396" s="12">
        <v>5</v>
      </c>
      <c r="G396" s="193">
        <v>13.2662</v>
      </c>
    </row>
    <row r="397" spans="1:7" x14ac:dyDescent="0.25">
      <c r="A397" s="207" t="s">
        <v>784</v>
      </c>
      <c r="B397" s="14" t="s">
        <v>246</v>
      </c>
      <c r="C397" s="12">
        <v>2021</v>
      </c>
      <c r="D397" s="12">
        <v>0.4</v>
      </c>
      <c r="E397" s="12"/>
      <c r="F397" s="12">
        <v>5</v>
      </c>
      <c r="G397" s="193">
        <v>12.892099999999999</v>
      </c>
    </row>
    <row r="398" spans="1:7" x14ac:dyDescent="0.25">
      <c r="A398" s="207" t="s">
        <v>785</v>
      </c>
      <c r="B398" s="14" t="s">
        <v>245</v>
      </c>
      <c r="C398" s="12">
        <v>2021</v>
      </c>
      <c r="D398" s="12">
        <v>0.4</v>
      </c>
      <c r="E398" s="12"/>
      <c r="F398" s="12">
        <v>15</v>
      </c>
      <c r="G398" s="193">
        <v>23.404599999999999</v>
      </c>
    </row>
    <row r="399" spans="1:7" x14ac:dyDescent="0.25">
      <c r="A399" s="207" t="s">
        <v>785</v>
      </c>
      <c r="B399" s="14" t="s">
        <v>244</v>
      </c>
      <c r="C399" s="12">
        <v>2021</v>
      </c>
      <c r="D399" s="12">
        <v>0.4</v>
      </c>
      <c r="E399" s="12"/>
      <c r="F399" s="12">
        <v>15</v>
      </c>
      <c r="G399" s="193">
        <v>23.436499999999999</v>
      </c>
    </row>
    <row r="400" spans="1:7" x14ac:dyDescent="0.25">
      <c r="A400" s="207" t="s">
        <v>785</v>
      </c>
      <c r="B400" s="14" t="s">
        <v>243</v>
      </c>
      <c r="C400" s="12">
        <v>2021</v>
      </c>
      <c r="D400" s="12">
        <v>0.4</v>
      </c>
      <c r="E400" s="12"/>
      <c r="F400" s="12">
        <v>15</v>
      </c>
      <c r="G400" s="193">
        <v>23.614599999999999</v>
      </c>
    </row>
    <row r="401" spans="1:7" x14ac:dyDescent="0.25">
      <c r="A401" s="207" t="s">
        <v>785</v>
      </c>
      <c r="B401" s="14" t="s">
        <v>242</v>
      </c>
      <c r="C401" s="12">
        <v>2021</v>
      </c>
      <c r="D401" s="12">
        <v>0.4</v>
      </c>
      <c r="E401" s="12"/>
      <c r="F401" s="12">
        <v>15</v>
      </c>
      <c r="G401" s="193">
        <v>23.116199999999999</v>
      </c>
    </row>
    <row r="402" spans="1:7" x14ac:dyDescent="0.25">
      <c r="A402" s="207" t="s">
        <v>785</v>
      </c>
      <c r="B402" s="14" t="s">
        <v>241</v>
      </c>
      <c r="C402" s="12">
        <v>2021</v>
      </c>
      <c r="D402" s="12">
        <v>0.4</v>
      </c>
      <c r="E402" s="12"/>
      <c r="F402" s="12">
        <v>15</v>
      </c>
      <c r="G402" s="193">
        <v>23.3062</v>
      </c>
    </row>
    <row r="403" spans="1:7" x14ac:dyDescent="0.25">
      <c r="A403" s="207" t="s">
        <v>785</v>
      </c>
      <c r="B403" s="14" t="s">
        <v>240</v>
      </c>
      <c r="C403" s="12">
        <v>2021</v>
      </c>
      <c r="D403" s="12">
        <v>0.4</v>
      </c>
      <c r="E403" s="12"/>
      <c r="F403" s="12">
        <v>15</v>
      </c>
      <c r="G403" s="193">
        <v>23.5779</v>
      </c>
    </row>
    <row r="404" spans="1:7" x14ac:dyDescent="0.25">
      <c r="A404" s="207" t="s">
        <v>784</v>
      </c>
      <c r="B404" s="14" t="s">
        <v>239</v>
      </c>
      <c r="C404" s="12">
        <v>2021</v>
      </c>
      <c r="D404" s="12">
        <v>0.4</v>
      </c>
      <c r="E404" s="12"/>
      <c r="F404" s="12">
        <v>5</v>
      </c>
      <c r="G404" s="193">
        <v>13.402100000000001</v>
      </c>
    </row>
    <row r="405" spans="1:7" x14ac:dyDescent="0.25">
      <c r="A405" s="207" t="s">
        <v>785</v>
      </c>
      <c r="B405" s="14" t="s">
        <v>238</v>
      </c>
      <c r="C405" s="12">
        <v>2021</v>
      </c>
      <c r="D405" s="12">
        <v>0.4</v>
      </c>
      <c r="E405" s="12"/>
      <c r="F405" s="12">
        <v>15</v>
      </c>
      <c r="G405" s="193">
        <v>23.312799999999999</v>
      </c>
    </row>
    <row r="406" spans="1:7" x14ac:dyDescent="0.25">
      <c r="A406" s="207" t="s">
        <v>784</v>
      </c>
      <c r="B406" s="14" t="s">
        <v>237</v>
      </c>
      <c r="C406" s="12">
        <v>2021</v>
      </c>
      <c r="D406" s="12">
        <v>0.4</v>
      </c>
      <c r="E406" s="12"/>
      <c r="F406" s="12">
        <v>5</v>
      </c>
      <c r="G406" s="193">
        <v>13.42</v>
      </c>
    </row>
    <row r="407" spans="1:7" x14ac:dyDescent="0.25">
      <c r="A407" s="207" t="s">
        <v>785</v>
      </c>
      <c r="B407" s="14" t="s">
        <v>236</v>
      </c>
      <c r="C407" s="12">
        <v>2021</v>
      </c>
      <c r="D407" s="12">
        <v>0.4</v>
      </c>
      <c r="E407" s="12"/>
      <c r="F407" s="12">
        <v>15</v>
      </c>
      <c r="G407" s="193">
        <v>23.376300000000001</v>
      </c>
    </row>
    <row r="408" spans="1:7" x14ac:dyDescent="0.25">
      <c r="A408" s="207" t="s">
        <v>785</v>
      </c>
      <c r="B408" s="14" t="s">
        <v>235</v>
      </c>
      <c r="C408" s="12">
        <v>2021</v>
      </c>
      <c r="D408" s="12">
        <v>0.4</v>
      </c>
      <c r="E408" s="12"/>
      <c r="F408" s="12">
        <v>15</v>
      </c>
      <c r="G408" s="193">
        <v>28.134899999999998</v>
      </c>
    </row>
    <row r="409" spans="1:7" x14ac:dyDescent="0.25">
      <c r="A409" s="207" t="s">
        <v>784</v>
      </c>
      <c r="B409" s="14" t="s">
        <v>234</v>
      </c>
      <c r="C409" s="12">
        <v>2021</v>
      </c>
      <c r="D409" s="12">
        <v>0.4</v>
      </c>
      <c r="E409" s="12"/>
      <c r="F409" s="12">
        <v>5</v>
      </c>
      <c r="G409" s="193">
        <v>22.217199999999998</v>
      </c>
    </row>
    <row r="410" spans="1:7" x14ac:dyDescent="0.25">
      <c r="A410" s="207" t="s">
        <v>785</v>
      </c>
      <c r="B410" s="14" t="s">
        <v>233</v>
      </c>
      <c r="C410" s="12">
        <v>2021</v>
      </c>
      <c r="D410" s="12">
        <v>0.4</v>
      </c>
      <c r="E410" s="12"/>
      <c r="F410" s="12">
        <v>15</v>
      </c>
      <c r="G410" s="193">
        <v>22.217199999999998</v>
      </c>
    </row>
    <row r="411" spans="1:7" x14ac:dyDescent="0.25">
      <c r="A411" s="207" t="s">
        <v>785</v>
      </c>
      <c r="B411" s="14" t="s">
        <v>232</v>
      </c>
      <c r="C411" s="12">
        <v>2021</v>
      </c>
      <c r="D411" s="12">
        <v>0.4</v>
      </c>
      <c r="E411" s="12"/>
      <c r="F411" s="12">
        <v>15</v>
      </c>
      <c r="G411" s="193">
        <v>22.135100000000001</v>
      </c>
    </row>
    <row r="412" spans="1:7" x14ac:dyDescent="0.25">
      <c r="A412" s="207" t="s">
        <v>785</v>
      </c>
      <c r="B412" s="14" t="s">
        <v>231</v>
      </c>
      <c r="C412" s="12">
        <v>2021</v>
      </c>
      <c r="D412" s="12">
        <v>0.4</v>
      </c>
      <c r="E412" s="12"/>
      <c r="F412" s="12">
        <v>15</v>
      </c>
      <c r="G412" s="193">
        <v>23.707799999999999</v>
      </c>
    </row>
    <row r="413" spans="1:7" x14ac:dyDescent="0.25">
      <c r="A413" s="207" t="s">
        <v>784</v>
      </c>
      <c r="B413" s="14" t="s">
        <v>230</v>
      </c>
      <c r="C413" s="12">
        <v>2021</v>
      </c>
      <c r="D413" s="12">
        <v>0.4</v>
      </c>
      <c r="E413" s="12"/>
      <c r="F413" s="12">
        <v>5</v>
      </c>
      <c r="G413" s="193">
        <v>13.9811</v>
      </c>
    </row>
    <row r="414" spans="1:7" x14ac:dyDescent="0.25">
      <c r="A414" s="207" t="s">
        <v>785</v>
      </c>
      <c r="B414" s="14" t="s">
        <v>229</v>
      </c>
      <c r="C414" s="12">
        <v>2021</v>
      </c>
      <c r="D414" s="12">
        <v>0.4</v>
      </c>
      <c r="E414" s="12"/>
      <c r="F414" s="12">
        <v>15</v>
      </c>
      <c r="G414" s="193">
        <v>27.853999999999999</v>
      </c>
    </row>
    <row r="415" spans="1:7" x14ac:dyDescent="0.25">
      <c r="A415" s="207" t="s">
        <v>785</v>
      </c>
      <c r="B415" s="14" t="s">
        <v>228</v>
      </c>
      <c r="C415" s="12">
        <v>2021</v>
      </c>
      <c r="D415" s="12">
        <v>0.4</v>
      </c>
      <c r="E415" s="12"/>
      <c r="F415" s="12">
        <v>15</v>
      </c>
      <c r="G415" s="193">
        <v>23.4038</v>
      </c>
    </row>
    <row r="416" spans="1:7" x14ac:dyDescent="0.25">
      <c r="A416" s="207" t="s">
        <v>784</v>
      </c>
      <c r="B416" s="14" t="s">
        <v>227</v>
      </c>
      <c r="C416" s="12">
        <v>2021</v>
      </c>
      <c r="D416" s="12">
        <v>0.4</v>
      </c>
      <c r="E416" s="12"/>
      <c r="F416" s="12">
        <v>5</v>
      </c>
      <c r="G416" s="193">
        <v>14.037100000000001</v>
      </c>
    </row>
    <row r="417" spans="1:7" x14ac:dyDescent="0.25">
      <c r="A417" s="207" t="s">
        <v>785</v>
      </c>
      <c r="B417" s="14" t="s">
        <v>226</v>
      </c>
      <c r="C417" s="12">
        <v>2021</v>
      </c>
      <c r="D417" s="12">
        <v>0.4</v>
      </c>
      <c r="E417" s="12"/>
      <c r="F417" s="12">
        <v>15</v>
      </c>
      <c r="G417" s="193">
        <v>23.362100000000002</v>
      </c>
    </row>
    <row r="418" spans="1:7" x14ac:dyDescent="0.25">
      <c r="A418" s="207" t="s">
        <v>785</v>
      </c>
      <c r="B418" s="14" t="s">
        <v>225</v>
      </c>
      <c r="C418" s="12">
        <v>2021</v>
      </c>
      <c r="D418" s="12">
        <v>0.4</v>
      </c>
      <c r="E418" s="12"/>
      <c r="F418" s="12">
        <v>15</v>
      </c>
      <c r="G418" s="193">
        <v>23.473800000000001</v>
      </c>
    </row>
    <row r="419" spans="1:7" x14ac:dyDescent="0.25">
      <c r="A419" s="207" t="s">
        <v>785</v>
      </c>
      <c r="B419" s="14" t="s">
        <v>224</v>
      </c>
      <c r="C419" s="12">
        <v>2021</v>
      </c>
      <c r="D419" s="12">
        <v>0.4</v>
      </c>
      <c r="E419" s="12"/>
      <c r="F419" s="12">
        <v>15</v>
      </c>
      <c r="G419" s="193">
        <v>23.2362</v>
      </c>
    </row>
    <row r="420" spans="1:7" x14ac:dyDescent="0.25">
      <c r="A420" s="207" t="s">
        <v>784</v>
      </c>
      <c r="B420" s="14" t="s">
        <v>223</v>
      </c>
      <c r="C420" s="12">
        <v>2021</v>
      </c>
      <c r="D420" s="12">
        <v>0.4</v>
      </c>
      <c r="E420" s="12"/>
      <c r="F420" s="12">
        <v>5</v>
      </c>
      <c r="G420" s="193">
        <v>13.7379</v>
      </c>
    </row>
    <row r="421" spans="1:7" x14ac:dyDescent="0.25">
      <c r="A421" s="207" t="s">
        <v>785</v>
      </c>
      <c r="B421" s="14" t="s">
        <v>222</v>
      </c>
      <c r="C421" s="12">
        <v>2021</v>
      </c>
      <c r="D421" s="12">
        <v>0.4</v>
      </c>
      <c r="E421" s="12"/>
      <c r="F421" s="12">
        <v>15</v>
      </c>
      <c r="G421" s="193">
        <v>25.389600000000002</v>
      </c>
    </row>
    <row r="422" spans="1:7" x14ac:dyDescent="0.25">
      <c r="A422" s="207" t="s">
        <v>784</v>
      </c>
      <c r="B422" s="14" t="s">
        <v>221</v>
      </c>
      <c r="C422" s="12">
        <v>2021</v>
      </c>
      <c r="D422" s="12">
        <v>0.4</v>
      </c>
      <c r="E422" s="12"/>
      <c r="F422" s="12">
        <v>5</v>
      </c>
      <c r="G422" s="193">
        <v>13.143800000000001</v>
      </c>
    </row>
    <row r="423" spans="1:7" x14ac:dyDescent="0.25">
      <c r="A423" s="207" t="s">
        <v>785</v>
      </c>
      <c r="B423" s="14" t="s">
        <v>220</v>
      </c>
      <c r="C423" s="12">
        <v>2021</v>
      </c>
      <c r="D423" s="12">
        <v>0.4</v>
      </c>
      <c r="E423" s="12"/>
      <c r="F423" s="12">
        <v>15</v>
      </c>
      <c r="G423" s="193">
        <v>24.7563</v>
      </c>
    </row>
    <row r="424" spans="1:7" x14ac:dyDescent="0.25">
      <c r="A424" s="207" t="s">
        <v>785</v>
      </c>
      <c r="B424" s="14" t="s">
        <v>219</v>
      </c>
      <c r="C424" s="12">
        <v>2021</v>
      </c>
      <c r="D424" s="12">
        <v>0.4</v>
      </c>
      <c r="E424" s="12"/>
      <c r="F424" s="12">
        <v>15</v>
      </c>
      <c r="G424" s="193">
        <v>25.1404</v>
      </c>
    </row>
    <row r="425" spans="1:7" x14ac:dyDescent="0.25">
      <c r="A425" s="207" t="s">
        <v>785</v>
      </c>
      <c r="B425" s="14" t="s">
        <v>218</v>
      </c>
      <c r="C425" s="12">
        <v>2021</v>
      </c>
      <c r="D425" s="12">
        <v>0.4</v>
      </c>
      <c r="E425" s="12"/>
      <c r="F425" s="12">
        <v>15</v>
      </c>
      <c r="G425" s="193">
        <v>23.473700000000001</v>
      </c>
    </row>
    <row r="426" spans="1:7" x14ac:dyDescent="0.25">
      <c r="A426" s="207" t="s">
        <v>785</v>
      </c>
      <c r="B426" s="14" t="s">
        <v>217</v>
      </c>
      <c r="C426" s="12">
        <v>2021</v>
      </c>
      <c r="D426" s="12">
        <v>0.4</v>
      </c>
      <c r="E426" s="12"/>
      <c r="F426" s="12">
        <v>15</v>
      </c>
      <c r="G426" s="193">
        <v>21.6496</v>
      </c>
    </row>
    <row r="427" spans="1:7" x14ac:dyDescent="0.25">
      <c r="A427" s="207" t="s">
        <v>785</v>
      </c>
      <c r="B427" s="14" t="s">
        <v>138</v>
      </c>
      <c r="C427" s="12">
        <v>2021</v>
      </c>
      <c r="D427" s="12">
        <v>0.4</v>
      </c>
      <c r="E427" s="12"/>
      <c r="F427" s="12">
        <v>15</v>
      </c>
      <c r="G427" s="193">
        <v>23.630400000000002</v>
      </c>
    </row>
    <row r="428" spans="1:7" x14ac:dyDescent="0.25">
      <c r="A428" s="207" t="s">
        <v>785</v>
      </c>
      <c r="B428" s="14" t="s">
        <v>216</v>
      </c>
      <c r="C428" s="12">
        <v>2021</v>
      </c>
      <c r="D428" s="12">
        <v>0.4</v>
      </c>
      <c r="E428" s="12"/>
      <c r="F428" s="12">
        <v>15</v>
      </c>
      <c r="G428" s="193">
        <v>24.434200000000001</v>
      </c>
    </row>
    <row r="429" spans="1:7" x14ac:dyDescent="0.25">
      <c r="A429" s="207" t="s">
        <v>785</v>
      </c>
      <c r="B429" s="14" t="s">
        <v>215</v>
      </c>
      <c r="C429" s="12">
        <v>2021</v>
      </c>
      <c r="D429" s="12">
        <v>0.4</v>
      </c>
      <c r="E429" s="12"/>
      <c r="F429" s="12">
        <v>15</v>
      </c>
      <c r="G429" s="193">
        <v>23.121700000000001</v>
      </c>
    </row>
    <row r="430" spans="1:7" x14ac:dyDescent="0.25">
      <c r="A430" s="207" t="s">
        <v>785</v>
      </c>
      <c r="B430" s="14" t="s">
        <v>214</v>
      </c>
      <c r="C430" s="12">
        <v>2021</v>
      </c>
      <c r="D430" s="12">
        <v>0.4</v>
      </c>
      <c r="E430" s="12"/>
      <c r="F430" s="12">
        <v>15</v>
      </c>
      <c r="G430" s="193">
        <v>25.465</v>
      </c>
    </row>
    <row r="431" spans="1:7" x14ac:dyDescent="0.25">
      <c r="A431" s="207" t="s">
        <v>785</v>
      </c>
      <c r="B431" s="14" t="s">
        <v>213</v>
      </c>
      <c r="C431" s="12">
        <v>2021</v>
      </c>
      <c r="D431" s="12">
        <v>0.4</v>
      </c>
      <c r="E431" s="12"/>
      <c r="F431" s="12">
        <v>15</v>
      </c>
      <c r="G431" s="193">
        <v>24.256699999999999</v>
      </c>
    </row>
    <row r="432" spans="1:7" x14ac:dyDescent="0.25">
      <c r="A432" s="207" t="s">
        <v>785</v>
      </c>
      <c r="B432" s="14" t="s">
        <v>212</v>
      </c>
      <c r="C432" s="12">
        <v>2021</v>
      </c>
      <c r="D432" s="12">
        <v>0.4</v>
      </c>
      <c r="E432" s="12"/>
      <c r="F432" s="12">
        <v>15</v>
      </c>
      <c r="G432" s="193">
        <v>24.425000000000001</v>
      </c>
    </row>
    <row r="433" spans="1:7" x14ac:dyDescent="0.25">
      <c r="A433" s="207" t="s">
        <v>785</v>
      </c>
      <c r="B433" s="14" t="s">
        <v>211</v>
      </c>
      <c r="C433" s="12">
        <v>2021</v>
      </c>
      <c r="D433" s="12">
        <v>0.4</v>
      </c>
      <c r="E433" s="12"/>
      <c r="F433" s="12">
        <v>15</v>
      </c>
      <c r="G433" s="193">
        <v>25.333200000000001</v>
      </c>
    </row>
    <row r="434" spans="1:7" x14ac:dyDescent="0.25">
      <c r="A434" s="207" t="s">
        <v>785</v>
      </c>
      <c r="B434" s="14" t="s">
        <v>210</v>
      </c>
      <c r="C434" s="12">
        <v>2021</v>
      </c>
      <c r="D434" s="12">
        <v>0.4</v>
      </c>
      <c r="E434" s="12"/>
      <c r="F434" s="12">
        <v>15</v>
      </c>
      <c r="G434" s="193">
        <v>25.2134</v>
      </c>
    </row>
    <row r="435" spans="1:7" x14ac:dyDescent="0.25">
      <c r="A435" s="207" t="s">
        <v>785</v>
      </c>
      <c r="B435" s="14" t="s">
        <v>209</v>
      </c>
      <c r="C435" s="12">
        <v>2021</v>
      </c>
      <c r="D435" s="12">
        <v>0.4</v>
      </c>
      <c r="E435" s="12"/>
      <c r="F435" s="12">
        <v>15</v>
      </c>
      <c r="G435" s="193">
        <v>25.324999999999999</v>
      </c>
    </row>
    <row r="436" spans="1:7" x14ac:dyDescent="0.25">
      <c r="A436" s="207" t="s">
        <v>784</v>
      </c>
      <c r="B436" s="14" t="s">
        <v>208</v>
      </c>
      <c r="C436" s="12">
        <v>2021</v>
      </c>
      <c r="D436" s="12">
        <v>0.4</v>
      </c>
      <c r="E436" s="12"/>
      <c r="F436" s="12">
        <v>5</v>
      </c>
      <c r="G436" s="193">
        <v>13.985300000000001</v>
      </c>
    </row>
    <row r="437" spans="1:7" x14ac:dyDescent="0.25">
      <c r="A437" s="207" t="s">
        <v>784</v>
      </c>
      <c r="B437" s="14" t="s">
        <v>207</v>
      </c>
      <c r="C437" s="12">
        <v>2021</v>
      </c>
      <c r="D437" s="12">
        <v>0.4</v>
      </c>
      <c r="E437" s="12"/>
      <c r="F437" s="12">
        <v>5</v>
      </c>
      <c r="G437" s="193">
        <v>0.76856999999999998</v>
      </c>
    </row>
    <row r="438" spans="1:7" x14ac:dyDescent="0.25">
      <c r="A438" s="207" t="s">
        <v>784</v>
      </c>
      <c r="B438" s="14" t="s">
        <v>206</v>
      </c>
      <c r="C438" s="12">
        <v>2021</v>
      </c>
      <c r="D438" s="12">
        <v>0.4</v>
      </c>
      <c r="E438" s="12"/>
      <c r="F438" s="12">
        <v>5</v>
      </c>
      <c r="G438" s="193">
        <v>13.0937</v>
      </c>
    </row>
    <row r="439" spans="1:7" x14ac:dyDescent="0.25">
      <c r="A439" s="207" t="s">
        <v>784</v>
      </c>
      <c r="B439" s="14" t="s">
        <v>205</v>
      </c>
      <c r="C439" s="12">
        <v>2021</v>
      </c>
      <c r="D439" s="12">
        <v>0.4</v>
      </c>
      <c r="E439" s="12"/>
      <c r="F439" s="12">
        <v>5</v>
      </c>
      <c r="G439" s="193">
        <v>13.587</v>
      </c>
    </row>
    <row r="440" spans="1:7" x14ac:dyDescent="0.25">
      <c r="A440" s="207" t="s">
        <v>785</v>
      </c>
      <c r="B440" s="14" t="s">
        <v>204</v>
      </c>
      <c r="C440" s="12">
        <v>2021</v>
      </c>
      <c r="D440" s="12">
        <v>0.4</v>
      </c>
      <c r="E440" s="12"/>
      <c r="F440" s="12">
        <v>15</v>
      </c>
      <c r="G440" s="193">
        <v>25.327500000000001</v>
      </c>
    </row>
    <row r="441" spans="1:7" x14ac:dyDescent="0.25">
      <c r="A441" s="207" t="s">
        <v>784</v>
      </c>
      <c r="B441" s="14" t="s">
        <v>203</v>
      </c>
      <c r="C441" s="12">
        <v>2021</v>
      </c>
      <c r="D441" s="12">
        <v>0.4</v>
      </c>
      <c r="E441" s="12"/>
      <c r="F441" s="12">
        <v>5</v>
      </c>
      <c r="G441" s="193">
        <v>14.069699999999999</v>
      </c>
    </row>
    <row r="442" spans="1:7" x14ac:dyDescent="0.25">
      <c r="A442" s="207" t="s">
        <v>784</v>
      </c>
      <c r="B442" s="14" t="s">
        <v>202</v>
      </c>
      <c r="C442" s="12">
        <v>2021</v>
      </c>
      <c r="D442" s="12">
        <v>0.4</v>
      </c>
      <c r="E442" s="12"/>
      <c r="F442" s="12">
        <v>5</v>
      </c>
      <c r="G442" s="193">
        <v>14.3728</v>
      </c>
    </row>
    <row r="443" spans="1:7" x14ac:dyDescent="0.25">
      <c r="A443" s="207" t="s">
        <v>785</v>
      </c>
      <c r="B443" s="14" t="s">
        <v>201</v>
      </c>
      <c r="C443" s="12">
        <v>2021</v>
      </c>
      <c r="D443" s="12">
        <v>0.4</v>
      </c>
      <c r="E443" s="12"/>
      <c r="F443" s="12">
        <v>15</v>
      </c>
      <c r="G443" s="193">
        <v>24.175000000000001</v>
      </c>
    </row>
    <row r="444" spans="1:7" x14ac:dyDescent="0.25">
      <c r="A444" s="207" t="s">
        <v>784</v>
      </c>
      <c r="B444" s="14" t="s">
        <v>200</v>
      </c>
      <c r="C444" s="12">
        <v>2021</v>
      </c>
      <c r="D444" s="12">
        <v>0.4</v>
      </c>
      <c r="E444" s="12"/>
      <c r="F444" s="12">
        <v>5</v>
      </c>
      <c r="G444" s="193">
        <v>13.937200000000001</v>
      </c>
    </row>
    <row r="445" spans="1:7" x14ac:dyDescent="0.25">
      <c r="A445" s="207" t="s">
        <v>785</v>
      </c>
      <c r="B445" s="14" t="s">
        <v>199</v>
      </c>
      <c r="C445" s="12">
        <v>2021</v>
      </c>
      <c r="D445" s="12">
        <v>0.4</v>
      </c>
      <c r="E445" s="12"/>
      <c r="F445" s="12">
        <v>15</v>
      </c>
      <c r="G445" s="193">
        <v>25.383400000000002</v>
      </c>
    </row>
    <row r="446" spans="1:7" x14ac:dyDescent="0.25">
      <c r="A446" s="207" t="s">
        <v>785</v>
      </c>
      <c r="B446" s="14" t="s">
        <v>198</v>
      </c>
      <c r="C446" s="12">
        <v>2021</v>
      </c>
      <c r="D446" s="12">
        <v>0.4</v>
      </c>
      <c r="E446" s="12"/>
      <c r="F446" s="12">
        <v>15</v>
      </c>
      <c r="G446" s="193">
        <v>24.063400000000001</v>
      </c>
    </row>
    <row r="447" spans="1:7" x14ac:dyDescent="0.25">
      <c r="A447" s="207" t="s">
        <v>785</v>
      </c>
      <c r="B447" s="14" t="s">
        <v>197</v>
      </c>
      <c r="C447" s="12">
        <v>2021</v>
      </c>
      <c r="D447" s="12">
        <v>0.4</v>
      </c>
      <c r="E447" s="12"/>
      <c r="F447" s="12">
        <v>15</v>
      </c>
      <c r="G447" s="193">
        <v>25.152899999999999</v>
      </c>
    </row>
    <row r="448" spans="1:7" x14ac:dyDescent="0.25">
      <c r="A448" s="207" t="s">
        <v>785</v>
      </c>
      <c r="B448" s="14" t="s">
        <v>196</v>
      </c>
      <c r="C448" s="12">
        <v>2021</v>
      </c>
      <c r="D448" s="12">
        <v>0.4</v>
      </c>
      <c r="E448" s="12"/>
      <c r="F448" s="12">
        <v>15</v>
      </c>
      <c r="G448" s="193">
        <v>25.2346</v>
      </c>
    </row>
    <row r="449" spans="1:7" x14ac:dyDescent="0.25">
      <c r="A449" s="207" t="s">
        <v>785</v>
      </c>
      <c r="B449" s="14" t="s">
        <v>195</v>
      </c>
      <c r="C449" s="12">
        <v>2021</v>
      </c>
      <c r="D449" s="12">
        <v>0.4</v>
      </c>
      <c r="E449" s="12"/>
      <c r="F449" s="12">
        <v>15</v>
      </c>
      <c r="G449" s="193">
        <v>25.084599999999998</v>
      </c>
    </row>
    <row r="450" spans="1:7" x14ac:dyDescent="0.25">
      <c r="A450" s="207" t="s">
        <v>785</v>
      </c>
      <c r="B450" s="14" t="s">
        <v>194</v>
      </c>
      <c r="C450" s="12">
        <v>2021</v>
      </c>
      <c r="D450" s="12">
        <v>0.4</v>
      </c>
      <c r="E450" s="12"/>
      <c r="F450" s="12">
        <v>15</v>
      </c>
      <c r="G450" s="193">
        <v>25.0563</v>
      </c>
    </row>
    <row r="451" spans="1:7" x14ac:dyDescent="0.25">
      <c r="A451" s="207" t="s">
        <v>785</v>
      </c>
      <c r="B451" s="14" t="s">
        <v>193</v>
      </c>
      <c r="C451" s="12">
        <v>2021</v>
      </c>
      <c r="D451" s="12">
        <v>0.4</v>
      </c>
      <c r="E451" s="12"/>
      <c r="F451" s="12">
        <v>15</v>
      </c>
      <c r="G451" s="193">
        <v>25.379899999999999</v>
      </c>
    </row>
    <row r="452" spans="1:7" x14ac:dyDescent="0.25">
      <c r="A452" s="207" t="s">
        <v>784</v>
      </c>
      <c r="B452" s="14" t="s">
        <v>192</v>
      </c>
      <c r="C452" s="12">
        <v>2021</v>
      </c>
      <c r="D452" s="12">
        <v>0.4</v>
      </c>
      <c r="E452" s="12"/>
      <c r="F452" s="12">
        <v>5</v>
      </c>
      <c r="G452" s="193">
        <v>13.8545</v>
      </c>
    </row>
    <row r="453" spans="1:7" x14ac:dyDescent="0.25">
      <c r="A453" s="207" t="s">
        <v>784</v>
      </c>
      <c r="B453" s="14" t="s">
        <v>191</v>
      </c>
      <c r="C453" s="12">
        <v>2021</v>
      </c>
      <c r="D453" s="12">
        <v>0.4</v>
      </c>
      <c r="E453" s="12"/>
      <c r="F453" s="12">
        <v>5</v>
      </c>
      <c r="G453" s="193">
        <v>13.7403</v>
      </c>
    </row>
    <row r="454" spans="1:7" x14ac:dyDescent="0.25">
      <c r="A454" s="207" t="s">
        <v>784</v>
      </c>
      <c r="B454" s="14" t="s">
        <v>190</v>
      </c>
      <c r="C454" s="12">
        <v>2021</v>
      </c>
      <c r="D454" s="12">
        <v>0.4</v>
      </c>
      <c r="E454" s="12"/>
      <c r="F454" s="12">
        <v>5</v>
      </c>
      <c r="G454" s="193">
        <v>14.1096</v>
      </c>
    </row>
    <row r="455" spans="1:7" x14ac:dyDescent="0.25">
      <c r="A455" s="207" t="s">
        <v>785</v>
      </c>
      <c r="B455" s="14" t="s">
        <v>189</v>
      </c>
      <c r="C455" s="12">
        <v>2021</v>
      </c>
      <c r="D455" s="12">
        <v>0.4</v>
      </c>
      <c r="E455" s="12"/>
      <c r="F455" s="12">
        <v>15</v>
      </c>
      <c r="G455" s="193">
        <v>23.421099999999999</v>
      </c>
    </row>
    <row r="456" spans="1:7" x14ac:dyDescent="0.25">
      <c r="A456" s="207" t="s">
        <v>785</v>
      </c>
      <c r="B456" s="14" t="s">
        <v>188</v>
      </c>
      <c r="C456" s="12">
        <v>2021</v>
      </c>
      <c r="D456" s="12">
        <v>0.4</v>
      </c>
      <c r="E456" s="12"/>
      <c r="F456" s="12">
        <v>15</v>
      </c>
      <c r="G456" s="193">
        <v>28.0259</v>
      </c>
    </row>
    <row r="457" spans="1:7" x14ac:dyDescent="0.25">
      <c r="A457" s="207" t="s">
        <v>784</v>
      </c>
      <c r="B457" s="14" t="s">
        <v>187</v>
      </c>
      <c r="C457" s="12">
        <v>2021</v>
      </c>
      <c r="D457" s="12">
        <v>0.4</v>
      </c>
      <c r="E457" s="12"/>
      <c r="F457" s="12">
        <v>5</v>
      </c>
      <c r="G457" s="193">
        <v>25.332100000000001</v>
      </c>
    </row>
    <row r="458" spans="1:7" x14ac:dyDescent="0.25">
      <c r="A458" s="207" t="s">
        <v>785</v>
      </c>
      <c r="B458" s="14" t="s">
        <v>186</v>
      </c>
      <c r="C458" s="12">
        <v>2021</v>
      </c>
      <c r="D458" s="12">
        <v>0.4</v>
      </c>
      <c r="E458" s="12"/>
      <c r="F458" s="12">
        <v>15</v>
      </c>
      <c r="G458" s="193">
        <v>13.152900000000001</v>
      </c>
    </row>
    <row r="459" spans="1:7" x14ac:dyDescent="0.25">
      <c r="A459" s="207" t="s">
        <v>784</v>
      </c>
      <c r="B459" s="14" t="s">
        <v>185</v>
      </c>
      <c r="C459" s="12">
        <v>2021</v>
      </c>
      <c r="D459" s="12">
        <v>0.4</v>
      </c>
      <c r="E459" s="12"/>
      <c r="F459" s="12">
        <v>5</v>
      </c>
      <c r="G459" s="193">
        <v>22.106200000000001</v>
      </c>
    </row>
    <row r="460" spans="1:7" x14ac:dyDescent="0.25">
      <c r="A460" s="207" t="s">
        <v>784</v>
      </c>
      <c r="B460" s="14" t="s">
        <v>184</v>
      </c>
      <c r="C460" s="12">
        <v>2021</v>
      </c>
      <c r="D460" s="12">
        <v>0.4</v>
      </c>
      <c r="E460" s="12"/>
      <c r="F460" s="12">
        <v>5</v>
      </c>
      <c r="G460" s="193">
        <v>5.88056</v>
      </c>
    </row>
    <row r="461" spans="1:7" x14ac:dyDescent="0.25">
      <c r="A461" s="207" t="s">
        <v>784</v>
      </c>
      <c r="B461" s="14" t="s">
        <v>183</v>
      </c>
      <c r="C461" s="12">
        <v>2021</v>
      </c>
      <c r="D461" s="12">
        <v>0.4</v>
      </c>
      <c r="E461" s="12"/>
      <c r="F461" s="12">
        <v>5</v>
      </c>
      <c r="G461" s="193">
        <v>12.3482</v>
      </c>
    </row>
    <row r="462" spans="1:7" x14ac:dyDescent="0.25">
      <c r="A462" s="207" t="s">
        <v>784</v>
      </c>
      <c r="B462" s="14" t="s">
        <v>182</v>
      </c>
      <c r="C462" s="12">
        <v>2021</v>
      </c>
      <c r="D462" s="12">
        <v>0.4</v>
      </c>
      <c r="E462" s="12"/>
      <c r="F462" s="12">
        <v>5</v>
      </c>
      <c r="G462" s="193">
        <v>13.0899</v>
      </c>
    </row>
    <row r="463" spans="1:7" x14ac:dyDescent="0.25">
      <c r="A463" s="207" t="s">
        <v>784</v>
      </c>
      <c r="B463" s="14" t="s">
        <v>181</v>
      </c>
      <c r="C463" s="12">
        <v>2021</v>
      </c>
      <c r="D463" s="12">
        <v>0.4</v>
      </c>
      <c r="E463" s="12"/>
      <c r="F463" s="12">
        <v>5</v>
      </c>
      <c r="G463" s="193">
        <v>13.2662</v>
      </c>
    </row>
    <row r="464" spans="1:7" x14ac:dyDescent="0.25">
      <c r="A464" s="207" t="s">
        <v>784</v>
      </c>
      <c r="B464" s="14" t="s">
        <v>180</v>
      </c>
      <c r="C464" s="12">
        <v>2021</v>
      </c>
      <c r="D464" s="12">
        <v>0.4</v>
      </c>
      <c r="E464" s="12"/>
      <c r="F464" s="12">
        <v>5</v>
      </c>
      <c r="G464" s="193">
        <v>13.303800000000001</v>
      </c>
    </row>
    <row r="465" spans="1:7" x14ac:dyDescent="0.25">
      <c r="A465" s="207" t="s">
        <v>784</v>
      </c>
      <c r="B465" s="14" t="s">
        <v>179</v>
      </c>
      <c r="C465" s="12">
        <v>2021</v>
      </c>
      <c r="D465" s="12">
        <v>0.4</v>
      </c>
      <c r="E465" s="12"/>
      <c r="F465" s="12">
        <v>5</v>
      </c>
      <c r="G465" s="193">
        <v>13.303699999999999</v>
      </c>
    </row>
    <row r="466" spans="1:7" x14ac:dyDescent="0.25">
      <c r="A466" s="207" t="s">
        <v>784</v>
      </c>
      <c r="B466" s="14" t="s">
        <v>178</v>
      </c>
      <c r="C466" s="12">
        <v>2021</v>
      </c>
      <c r="D466" s="12">
        <v>0.4</v>
      </c>
      <c r="E466" s="12"/>
      <c r="F466" s="12">
        <v>5</v>
      </c>
      <c r="G466" s="193">
        <v>13.303800000000001</v>
      </c>
    </row>
    <row r="467" spans="1:7" x14ac:dyDescent="0.25">
      <c r="A467" s="207" t="s">
        <v>785</v>
      </c>
      <c r="B467" s="14" t="s">
        <v>177</v>
      </c>
      <c r="C467" s="12">
        <v>2021</v>
      </c>
      <c r="D467" s="12">
        <v>0.4</v>
      </c>
      <c r="E467" s="12"/>
      <c r="F467" s="12">
        <v>14</v>
      </c>
      <c r="G467" s="193">
        <v>13.500400000000001</v>
      </c>
    </row>
    <row r="468" spans="1:7" x14ac:dyDescent="0.25">
      <c r="A468" s="207" t="s">
        <v>786</v>
      </c>
      <c r="B468" s="14" t="s">
        <v>176</v>
      </c>
      <c r="C468" s="12">
        <v>2021</v>
      </c>
      <c r="D468" s="12">
        <v>0.4</v>
      </c>
      <c r="E468" s="12"/>
      <c r="F468" s="12">
        <v>58</v>
      </c>
      <c r="G468" s="193">
        <v>23.749199999999998</v>
      </c>
    </row>
    <row r="469" spans="1:7" x14ac:dyDescent="0.25">
      <c r="A469" s="207" t="s">
        <v>786</v>
      </c>
      <c r="B469" s="14" t="s">
        <v>175</v>
      </c>
      <c r="C469" s="12">
        <v>2021</v>
      </c>
      <c r="D469" s="12">
        <v>0.4</v>
      </c>
      <c r="E469" s="12"/>
      <c r="F469" s="12">
        <v>50</v>
      </c>
      <c r="G469" s="193">
        <v>27.657</v>
      </c>
    </row>
    <row r="470" spans="1:7" x14ac:dyDescent="0.25">
      <c r="A470" s="207" t="s">
        <v>786</v>
      </c>
      <c r="B470" s="14" t="s">
        <v>174</v>
      </c>
      <c r="C470" s="12">
        <v>2021</v>
      </c>
      <c r="D470" s="12">
        <v>0.4</v>
      </c>
      <c r="E470" s="12"/>
      <c r="F470" s="12">
        <v>100</v>
      </c>
      <c r="G470" s="193">
        <v>13.1669</v>
      </c>
    </row>
    <row r="471" spans="1:7" x14ac:dyDescent="0.25">
      <c r="A471" s="207" t="s">
        <v>786</v>
      </c>
      <c r="B471" s="14" t="s">
        <v>173</v>
      </c>
      <c r="C471" s="12">
        <v>2021</v>
      </c>
      <c r="D471" s="12">
        <v>0.4</v>
      </c>
      <c r="E471" s="12"/>
      <c r="F471" s="12">
        <v>622</v>
      </c>
      <c r="G471" s="193">
        <v>22.500499999999999</v>
      </c>
    </row>
    <row r="472" spans="1:7" x14ac:dyDescent="0.25">
      <c r="A472" s="207" t="s">
        <v>785</v>
      </c>
      <c r="B472" s="14" t="s">
        <v>172</v>
      </c>
      <c r="C472" s="12">
        <v>2021</v>
      </c>
      <c r="D472" s="12">
        <v>0.4</v>
      </c>
      <c r="E472" s="12"/>
      <c r="F472" s="12">
        <v>10</v>
      </c>
      <c r="G472" s="193">
        <v>102.012</v>
      </c>
    </row>
    <row r="473" spans="1:7" x14ac:dyDescent="0.25">
      <c r="A473" s="207" t="s">
        <v>785</v>
      </c>
      <c r="B473" s="14" t="s">
        <v>171</v>
      </c>
      <c r="C473" s="12">
        <v>2021</v>
      </c>
      <c r="D473" s="12">
        <v>0.4</v>
      </c>
      <c r="E473" s="12"/>
      <c r="F473" s="12">
        <v>30</v>
      </c>
      <c r="G473" s="193">
        <v>23.7788</v>
      </c>
    </row>
    <row r="474" spans="1:7" x14ac:dyDescent="0.25">
      <c r="A474" s="207" t="s">
        <v>785</v>
      </c>
      <c r="B474" s="14" t="s">
        <v>170</v>
      </c>
      <c r="C474" s="12">
        <v>2021</v>
      </c>
      <c r="D474" s="12">
        <v>0.4</v>
      </c>
      <c r="E474" s="12"/>
      <c r="F474" s="12">
        <v>11.5</v>
      </c>
      <c r="G474" s="193">
        <v>25.353400000000001</v>
      </c>
    </row>
    <row r="475" spans="1:7" x14ac:dyDescent="0.25">
      <c r="A475" s="207" t="s">
        <v>784</v>
      </c>
      <c r="B475" s="14" t="s">
        <v>169</v>
      </c>
      <c r="C475" s="12">
        <v>2021</v>
      </c>
      <c r="D475" s="12">
        <v>0.4</v>
      </c>
      <c r="E475" s="12"/>
      <c r="F475" s="12">
        <v>5</v>
      </c>
      <c r="G475" s="193">
        <v>24.154399999999999</v>
      </c>
    </row>
    <row r="476" spans="1:7" x14ac:dyDescent="0.25">
      <c r="A476" s="207" t="s">
        <v>784</v>
      </c>
      <c r="B476" s="14" t="s">
        <v>168</v>
      </c>
      <c r="C476" s="12">
        <v>2021</v>
      </c>
      <c r="D476" s="12">
        <v>0.4</v>
      </c>
      <c r="E476" s="12"/>
      <c r="F476" s="12">
        <v>5</v>
      </c>
      <c r="G476" s="193">
        <v>13.7471</v>
      </c>
    </row>
    <row r="477" spans="1:7" x14ac:dyDescent="0.25">
      <c r="A477" s="207" t="s">
        <v>784</v>
      </c>
      <c r="B477" s="14" t="s">
        <v>167</v>
      </c>
      <c r="C477" s="12">
        <v>2021</v>
      </c>
      <c r="D477" s="12">
        <v>0.4</v>
      </c>
      <c r="E477" s="12"/>
      <c r="F477" s="12">
        <v>5</v>
      </c>
      <c r="G477" s="193">
        <v>13.7121</v>
      </c>
    </row>
    <row r="478" spans="1:7" x14ac:dyDescent="0.25">
      <c r="A478" s="207" t="s">
        <v>784</v>
      </c>
      <c r="B478" s="14" t="s">
        <v>166</v>
      </c>
      <c r="C478" s="12">
        <v>2021</v>
      </c>
      <c r="D478" s="12">
        <v>0.4</v>
      </c>
      <c r="E478" s="12"/>
      <c r="F478" s="12">
        <v>5</v>
      </c>
      <c r="G478" s="193">
        <v>13.7121</v>
      </c>
    </row>
    <row r="479" spans="1:7" x14ac:dyDescent="0.25">
      <c r="A479" s="207" t="s">
        <v>784</v>
      </c>
      <c r="B479" s="14" t="s">
        <v>165</v>
      </c>
      <c r="C479" s="12">
        <v>2021</v>
      </c>
      <c r="D479" s="12">
        <v>0.4</v>
      </c>
      <c r="E479" s="12"/>
      <c r="F479" s="12">
        <v>5</v>
      </c>
      <c r="G479" s="193">
        <v>13.0746</v>
      </c>
    </row>
    <row r="480" spans="1:7" x14ac:dyDescent="0.25">
      <c r="A480" s="207" t="s">
        <v>784</v>
      </c>
      <c r="B480" s="14" t="s">
        <v>164</v>
      </c>
      <c r="C480" s="12">
        <v>2021</v>
      </c>
      <c r="D480" s="12">
        <v>0.4</v>
      </c>
      <c r="E480" s="12"/>
      <c r="F480" s="12">
        <v>5</v>
      </c>
      <c r="G480" s="193">
        <v>13.7121</v>
      </c>
    </row>
    <row r="481" spans="1:7" x14ac:dyDescent="0.25">
      <c r="A481" s="207" t="s">
        <v>784</v>
      </c>
      <c r="B481" s="14" t="s">
        <v>163</v>
      </c>
      <c r="C481" s="12">
        <v>2021</v>
      </c>
      <c r="D481" s="12">
        <v>0.4</v>
      </c>
      <c r="E481" s="12"/>
      <c r="F481" s="12">
        <v>5</v>
      </c>
      <c r="G481" s="193">
        <v>13.019600000000001</v>
      </c>
    </row>
    <row r="482" spans="1:7" x14ac:dyDescent="0.25">
      <c r="A482" s="207" t="s">
        <v>784</v>
      </c>
      <c r="B482" s="14" t="s">
        <v>162</v>
      </c>
      <c r="C482" s="12">
        <v>2021</v>
      </c>
      <c r="D482" s="12">
        <v>0.4</v>
      </c>
      <c r="E482" s="12"/>
      <c r="F482" s="12">
        <v>5</v>
      </c>
      <c r="G482" s="193">
        <v>13.7121</v>
      </c>
    </row>
    <row r="483" spans="1:7" x14ac:dyDescent="0.25">
      <c r="A483" s="207" t="s">
        <v>784</v>
      </c>
      <c r="B483" s="14" t="s">
        <v>161</v>
      </c>
      <c r="C483" s="12">
        <v>2021</v>
      </c>
      <c r="D483" s="12">
        <v>0.4</v>
      </c>
      <c r="E483" s="12"/>
      <c r="F483" s="12">
        <v>5</v>
      </c>
      <c r="G483" s="193">
        <v>13.7471</v>
      </c>
    </row>
    <row r="484" spans="1:7" x14ac:dyDescent="0.25">
      <c r="A484" s="207" t="s">
        <v>784</v>
      </c>
      <c r="B484" s="14" t="s">
        <v>160</v>
      </c>
      <c r="C484" s="12">
        <v>2021</v>
      </c>
      <c r="D484" s="12">
        <v>0.4</v>
      </c>
      <c r="E484" s="12"/>
      <c r="F484" s="12">
        <v>5</v>
      </c>
      <c r="G484" s="193">
        <v>13.7471</v>
      </c>
    </row>
    <row r="485" spans="1:7" x14ac:dyDescent="0.25">
      <c r="A485" s="207" t="s">
        <v>784</v>
      </c>
      <c r="B485" s="14" t="s">
        <v>159</v>
      </c>
      <c r="C485" s="12">
        <v>2021</v>
      </c>
      <c r="D485" s="12">
        <v>0.4</v>
      </c>
      <c r="E485" s="12"/>
      <c r="F485" s="12">
        <v>5</v>
      </c>
      <c r="G485" s="193">
        <v>13.7471</v>
      </c>
    </row>
    <row r="486" spans="1:7" x14ac:dyDescent="0.25">
      <c r="A486" s="207" t="s">
        <v>784</v>
      </c>
      <c r="B486" s="14" t="s">
        <v>158</v>
      </c>
      <c r="C486" s="12">
        <v>2021</v>
      </c>
      <c r="D486" s="12">
        <v>0.4</v>
      </c>
      <c r="E486" s="12"/>
      <c r="F486" s="12">
        <v>5</v>
      </c>
      <c r="G486" s="193">
        <v>13.7471</v>
      </c>
    </row>
    <row r="487" spans="1:7" x14ac:dyDescent="0.25">
      <c r="A487" s="207" t="s">
        <v>784</v>
      </c>
      <c r="B487" s="14" t="s">
        <v>157</v>
      </c>
      <c r="C487" s="12">
        <v>2021</v>
      </c>
      <c r="D487" s="12">
        <v>0.4</v>
      </c>
      <c r="E487" s="12"/>
      <c r="F487" s="12">
        <v>5</v>
      </c>
      <c r="G487" s="193">
        <v>13.7471</v>
      </c>
    </row>
    <row r="488" spans="1:7" x14ac:dyDescent="0.25">
      <c r="A488" s="207" t="s">
        <v>784</v>
      </c>
      <c r="B488" s="14" t="s">
        <v>156</v>
      </c>
      <c r="C488" s="12">
        <v>2021</v>
      </c>
      <c r="D488" s="12">
        <v>0.4</v>
      </c>
      <c r="E488" s="12"/>
      <c r="F488" s="12">
        <v>5</v>
      </c>
      <c r="G488" s="193">
        <v>13.7471</v>
      </c>
    </row>
    <row r="489" spans="1:7" x14ac:dyDescent="0.25">
      <c r="A489" s="207" t="s">
        <v>784</v>
      </c>
      <c r="B489" s="14" t="s">
        <v>155</v>
      </c>
      <c r="C489" s="12">
        <v>2021</v>
      </c>
      <c r="D489" s="12">
        <v>0.4</v>
      </c>
      <c r="E489" s="12"/>
      <c r="F489" s="12">
        <v>5</v>
      </c>
      <c r="G489" s="193">
        <v>13.937200000000001</v>
      </c>
    </row>
    <row r="490" spans="1:7" x14ac:dyDescent="0.25">
      <c r="A490" s="207" t="s">
        <v>784</v>
      </c>
      <c r="B490" s="14" t="s">
        <v>154</v>
      </c>
      <c r="C490" s="12">
        <v>2021</v>
      </c>
      <c r="D490" s="12">
        <v>0.4</v>
      </c>
      <c r="E490" s="12"/>
      <c r="F490" s="12">
        <v>5</v>
      </c>
      <c r="G490" s="193">
        <v>13.679500000000001</v>
      </c>
    </row>
    <row r="491" spans="1:7" x14ac:dyDescent="0.25">
      <c r="A491" s="207" t="s">
        <v>784</v>
      </c>
      <c r="B491" s="14" t="s">
        <v>153</v>
      </c>
      <c r="C491" s="12">
        <v>2021</v>
      </c>
      <c r="D491" s="12">
        <v>0.4</v>
      </c>
      <c r="E491" s="12"/>
      <c r="F491" s="12">
        <v>5</v>
      </c>
      <c r="G491" s="193">
        <v>13.937200000000001</v>
      </c>
    </row>
    <row r="492" spans="1:7" x14ac:dyDescent="0.25">
      <c r="A492" s="207" t="s">
        <v>786</v>
      </c>
      <c r="B492" s="14" t="s">
        <v>152</v>
      </c>
      <c r="C492" s="12">
        <v>2021</v>
      </c>
      <c r="D492" s="12">
        <v>0.4</v>
      </c>
      <c r="E492" s="12"/>
      <c r="F492" s="12">
        <v>60</v>
      </c>
      <c r="G492" s="193">
        <v>13.679500000000001</v>
      </c>
    </row>
    <row r="493" spans="1:7" x14ac:dyDescent="0.25">
      <c r="A493" s="207" t="s">
        <v>785</v>
      </c>
      <c r="B493" s="14" t="s">
        <v>151</v>
      </c>
      <c r="C493" s="12">
        <v>2021</v>
      </c>
      <c r="D493" s="12">
        <v>0.4</v>
      </c>
      <c r="E493" s="12"/>
      <c r="F493" s="12">
        <v>15</v>
      </c>
      <c r="G493" s="193">
        <v>22.517399999999999</v>
      </c>
    </row>
    <row r="494" spans="1:7" x14ac:dyDescent="0.25">
      <c r="A494" s="207" t="s">
        <v>785</v>
      </c>
      <c r="B494" s="14" t="s">
        <v>150</v>
      </c>
      <c r="C494" s="12">
        <v>2021</v>
      </c>
      <c r="D494" s="12">
        <v>0.4</v>
      </c>
      <c r="E494" s="12"/>
      <c r="F494" s="12">
        <v>15</v>
      </c>
      <c r="G494" s="193">
        <v>24.3233</v>
      </c>
    </row>
    <row r="495" spans="1:7" x14ac:dyDescent="0.25">
      <c r="A495" s="207" t="s">
        <v>786</v>
      </c>
      <c r="B495" s="14" t="s">
        <v>149</v>
      </c>
      <c r="C495" s="12">
        <v>2021</v>
      </c>
      <c r="D495" s="12">
        <v>0.4</v>
      </c>
      <c r="E495" s="12"/>
      <c r="F495" s="12">
        <v>80</v>
      </c>
      <c r="G495" s="193">
        <v>25.406700000000001</v>
      </c>
    </row>
    <row r="496" spans="1:7" x14ac:dyDescent="0.25">
      <c r="A496" s="207" t="s">
        <v>786</v>
      </c>
      <c r="B496" s="14" t="s">
        <v>148</v>
      </c>
      <c r="C496" s="12">
        <v>2021</v>
      </c>
      <c r="D496" s="12">
        <v>0.4</v>
      </c>
      <c r="E496" s="12"/>
      <c r="F496" s="12">
        <v>180</v>
      </c>
      <c r="G496" s="193">
        <v>10.907500000000001</v>
      </c>
    </row>
    <row r="497" spans="1:7" x14ac:dyDescent="0.25">
      <c r="A497" s="207" t="s">
        <v>785</v>
      </c>
      <c r="B497" s="14" t="s">
        <v>147</v>
      </c>
      <c r="C497" s="12">
        <v>2021</v>
      </c>
      <c r="D497" s="12">
        <v>0.4</v>
      </c>
      <c r="E497" s="12"/>
      <c r="F497" s="12">
        <v>23</v>
      </c>
      <c r="G497" s="193">
        <v>12.1288</v>
      </c>
    </row>
    <row r="498" spans="1:7" x14ac:dyDescent="0.25">
      <c r="A498" s="207" t="s">
        <v>786</v>
      </c>
      <c r="B498" s="14" t="s">
        <v>146</v>
      </c>
      <c r="C498" s="12">
        <v>2021</v>
      </c>
      <c r="D498" s="12">
        <v>0.4</v>
      </c>
      <c r="E498" s="12"/>
      <c r="F498" s="12">
        <v>60</v>
      </c>
      <c r="G498" s="193">
        <v>26.607500000000002</v>
      </c>
    </row>
    <row r="499" spans="1:7" x14ac:dyDescent="0.25">
      <c r="A499" s="207" t="s">
        <v>785</v>
      </c>
      <c r="B499" s="14" t="s">
        <v>145</v>
      </c>
      <c r="C499" s="12">
        <v>2021</v>
      </c>
      <c r="D499" s="12">
        <v>0.4</v>
      </c>
      <c r="E499" s="12"/>
      <c r="F499" s="12">
        <v>15</v>
      </c>
      <c r="G499" s="193">
        <v>36.880299999999998</v>
      </c>
    </row>
    <row r="500" spans="1:7" x14ac:dyDescent="0.25">
      <c r="A500" s="207" t="s">
        <v>784</v>
      </c>
      <c r="B500" s="14" t="s">
        <v>144</v>
      </c>
      <c r="C500" s="12">
        <v>2021</v>
      </c>
      <c r="D500" s="12">
        <v>0.4</v>
      </c>
      <c r="E500" s="12"/>
      <c r="F500" s="12">
        <v>5</v>
      </c>
      <c r="G500" s="193">
        <v>25.299199999999999</v>
      </c>
    </row>
    <row r="501" spans="1:7" x14ac:dyDescent="0.25">
      <c r="A501" s="207" t="s">
        <v>786</v>
      </c>
      <c r="B501" s="14" t="s">
        <v>143</v>
      </c>
      <c r="C501" s="12">
        <v>2021</v>
      </c>
      <c r="D501" s="12">
        <v>0.4</v>
      </c>
      <c r="E501" s="12"/>
      <c r="F501" s="12">
        <v>70</v>
      </c>
      <c r="G501" s="193">
        <v>27.383400000000002</v>
      </c>
    </row>
    <row r="502" spans="1:7" x14ac:dyDescent="0.25">
      <c r="A502" s="207" t="s">
        <v>784</v>
      </c>
      <c r="B502" s="14" t="s">
        <v>142</v>
      </c>
      <c r="C502" s="12">
        <v>2021</v>
      </c>
      <c r="D502" s="12">
        <v>0.4</v>
      </c>
      <c r="E502" s="12"/>
      <c r="F502" s="12">
        <v>5</v>
      </c>
      <c r="G502" s="193">
        <v>25.774999999999999</v>
      </c>
    </row>
    <row r="503" spans="1:7" x14ac:dyDescent="0.25">
      <c r="A503" s="207" t="s">
        <v>786</v>
      </c>
      <c r="B503" s="14" t="s">
        <v>141</v>
      </c>
      <c r="C503" s="12">
        <v>2021</v>
      </c>
      <c r="D503" s="12">
        <v>0.4</v>
      </c>
      <c r="E503" s="12"/>
      <c r="F503" s="12">
        <v>135</v>
      </c>
      <c r="G503" s="193">
        <v>20.617599999999999</v>
      </c>
    </row>
    <row r="504" spans="1:7" x14ac:dyDescent="0.25">
      <c r="A504" s="207" t="s">
        <v>784</v>
      </c>
      <c r="B504" s="14" t="s">
        <v>140</v>
      </c>
      <c r="C504" s="12">
        <v>2021</v>
      </c>
      <c r="D504" s="12">
        <v>0.4</v>
      </c>
      <c r="E504" s="12"/>
      <c r="F504" s="12">
        <v>5</v>
      </c>
      <c r="G504" s="193">
        <v>9.8651</v>
      </c>
    </row>
    <row r="505" spans="1:7" x14ac:dyDescent="0.25">
      <c r="A505" s="207" t="s">
        <v>785</v>
      </c>
      <c r="B505" s="14" t="s">
        <v>139</v>
      </c>
      <c r="C505" s="12">
        <v>2021</v>
      </c>
      <c r="D505" s="12">
        <v>0.4</v>
      </c>
      <c r="E505" s="12"/>
      <c r="F505" s="12">
        <v>15</v>
      </c>
      <c r="G505" s="193">
        <v>12.891999999999999</v>
      </c>
    </row>
    <row r="506" spans="1:7" x14ac:dyDescent="0.25">
      <c r="A506" s="207" t="s">
        <v>785</v>
      </c>
      <c r="B506" s="14" t="s">
        <v>138</v>
      </c>
      <c r="C506" s="12">
        <v>2021</v>
      </c>
      <c r="D506" s="12">
        <v>0.4</v>
      </c>
      <c r="E506" s="12"/>
      <c r="F506" s="12">
        <v>45</v>
      </c>
      <c r="G506" s="193">
        <v>23.2638</v>
      </c>
    </row>
    <row r="507" spans="1:7" x14ac:dyDescent="0.25">
      <c r="A507" s="207" t="s">
        <v>785</v>
      </c>
      <c r="B507" s="14" t="s">
        <v>137</v>
      </c>
      <c r="C507" s="12">
        <v>2021</v>
      </c>
      <c r="D507" s="12">
        <v>0.4</v>
      </c>
      <c r="E507" s="12"/>
      <c r="F507" s="12">
        <v>28</v>
      </c>
      <c r="G507" s="193">
        <v>24.904599999999999</v>
      </c>
    </row>
    <row r="508" spans="1:7" x14ac:dyDescent="0.25">
      <c r="A508" s="207" t="s">
        <v>784</v>
      </c>
      <c r="B508" s="14" t="s">
        <v>136</v>
      </c>
      <c r="C508" s="12">
        <v>2021</v>
      </c>
      <c r="D508" s="12">
        <v>0.4</v>
      </c>
      <c r="E508" s="12"/>
      <c r="F508" s="12">
        <v>5</v>
      </c>
      <c r="G508" s="193">
        <v>25.818000000000001</v>
      </c>
    </row>
    <row r="509" spans="1:7" x14ac:dyDescent="0.25">
      <c r="A509" s="207" t="s">
        <v>784</v>
      </c>
      <c r="B509" s="14" t="s">
        <v>135</v>
      </c>
      <c r="C509" s="12">
        <v>2021</v>
      </c>
      <c r="D509" s="12">
        <v>0.4</v>
      </c>
      <c r="E509" s="12"/>
      <c r="F509" s="12">
        <v>5</v>
      </c>
      <c r="G509" s="193">
        <v>14.3315</v>
      </c>
    </row>
    <row r="510" spans="1:7" x14ac:dyDescent="0.25">
      <c r="A510" s="207" t="s">
        <v>785</v>
      </c>
      <c r="B510" s="14" t="s">
        <v>134</v>
      </c>
      <c r="C510" s="12">
        <v>2021</v>
      </c>
      <c r="D510" s="12">
        <v>0.4</v>
      </c>
      <c r="E510" s="12"/>
      <c r="F510" s="12">
        <v>44.5</v>
      </c>
      <c r="G510" s="193">
        <v>13.7029</v>
      </c>
    </row>
    <row r="511" spans="1:7" x14ac:dyDescent="0.25">
      <c r="A511" s="207" t="s">
        <v>785</v>
      </c>
      <c r="B511" s="14" t="s">
        <v>133</v>
      </c>
      <c r="C511" s="12">
        <v>2021</v>
      </c>
      <c r="D511" s="12">
        <v>0.4</v>
      </c>
      <c r="E511" s="12"/>
      <c r="F511" s="12">
        <v>15</v>
      </c>
      <c r="G511" s="193">
        <v>35.235700000000001</v>
      </c>
    </row>
    <row r="512" spans="1:7" x14ac:dyDescent="0.25">
      <c r="A512" s="207" t="s">
        <v>784</v>
      </c>
      <c r="B512" s="14" t="s">
        <v>132</v>
      </c>
      <c r="C512" s="12">
        <v>2021</v>
      </c>
      <c r="D512" s="12">
        <v>0.4</v>
      </c>
      <c r="E512" s="12"/>
      <c r="F512" s="12">
        <v>5</v>
      </c>
      <c r="G512" s="193">
        <v>25.629100000000001</v>
      </c>
    </row>
    <row r="513" spans="1:8" x14ac:dyDescent="0.25">
      <c r="A513" s="207" t="s">
        <v>784</v>
      </c>
      <c r="B513" s="14" t="s">
        <v>131</v>
      </c>
      <c r="C513" s="12">
        <v>2021</v>
      </c>
      <c r="D513" s="12">
        <v>0.4</v>
      </c>
      <c r="E513" s="12"/>
      <c r="F513" s="12">
        <v>5</v>
      </c>
      <c r="G513" s="193">
        <v>13.009600000000001</v>
      </c>
    </row>
    <row r="514" spans="1:8" x14ac:dyDescent="0.25">
      <c r="A514" s="207" t="s">
        <v>785</v>
      </c>
      <c r="B514" s="14" t="s">
        <v>130</v>
      </c>
      <c r="C514" s="12">
        <v>2021</v>
      </c>
      <c r="D514" s="12">
        <v>0.4</v>
      </c>
      <c r="E514" s="12"/>
      <c r="F514" s="12">
        <v>30</v>
      </c>
      <c r="G514" s="193">
        <v>13.8187</v>
      </c>
    </row>
    <row r="515" spans="1:8" x14ac:dyDescent="0.25">
      <c r="A515" s="207" t="s">
        <v>785</v>
      </c>
      <c r="B515" s="14" t="s">
        <v>129</v>
      </c>
      <c r="C515" s="12">
        <v>2021</v>
      </c>
      <c r="D515" s="12">
        <v>0.4</v>
      </c>
      <c r="E515" s="12"/>
      <c r="F515" s="12">
        <v>30</v>
      </c>
      <c r="G515" s="193">
        <v>51.136400000000002</v>
      </c>
    </row>
    <row r="516" spans="1:8" x14ac:dyDescent="0.25">
      <c r="A516" s="207" t="s">
        <v>784</v>
      </c>
      <c r="B516" s="14" t="s">
        <v>128</v>
      </c>
      <c r="C516" s="12">
        <v>2021</v>
      </c>
      <c r="D516" s="12">
        <v>0.4</v>
      </c>
      <c r="E516" s="12"/>
      <c r="F516" s="12">
        <v>5</v>
      </c>
      <c r="G516" s="193">
        <v>35.314999999999998</v>
      </c>
    </row>
    <row r="517" spans="1:8" x14ac:dyDescent="0.25">
      <c r="A517" s="207" t="s">
        <v>785</v>
      </c>
      <c r="B517" s="14" t="s">
        <v>127</v>
      </c>
      <c r="C517" s="12">
        <v>2021</v>
      </c>
      <c r="D517" s="12">
        <v>0.4</v>
      </c>
      <c r="E517" s="12"/>
      <c r="F517" s="12">
        <v>15</v>
      </c>
      <c r="G517" s="193">
        <v>13.043100000000001</v>
      </c>
    </row>
    <row r="518" spans="1:8" x14ac:dyDescent="0.25">
      <c r="A518" s="207" t="s">
        <v>785</v>
      </c>
      <c r="B518" s="14" t="s">
        <v>126</v>
      </c>
      <c r="C518" s="12">
        <v>2021</v>
      </c>
      <c r="D518" s="12">
        <v>0.4</v>
      </c>
      <c r="E518" s="12"/>
      <c r="F518" s="12">
        <v>15</v>
      </c>
      <c r="G518" s="193">
        <v>23.331199999999999</v>
      </c>
    </row>
    <row r="519" spans="1:8" x14ac:dyDescent="0.25">
      <c r="A519" s="207" t="s">
        <v>784</v>
      </c>
      <c r="B519" s="14" t="s">
        <v>125</v>
      </c>
      <c r="C519" s="12">
        <v>2021</v>
      </c>
      <c r="D519" s="12">
        <v>0.4</v>
      </c>
      <c r="E519" s="12"/>
      <c r="F519" s="12">
        <v>5</v>
      </c>
      <c r="G519" s="193">
        <v>19.840399999999999</v>
      </c>
    </row>
    <row r="520" spans="1:8" x14ac:dyDescent="0.25">
      <c r="A520" s="207" t="s">
        <v>785</v>
      </c>
      <c r="B520" s="14" t="s">
        <v>124</v>
      </c>
      <c r="C520" s="12">
        <v>2021</v>
      </c>
      <c r="D520" s="12">
        <v>0.4</v>
      </c>
      <c r="E520" s="12"/>
      <c r="F520" s="12">
        <v>15</v>
      </c>
      <c r="G520" s="193">
        <v>13.0558</v>
      </c>
    </row>
    <row r="521" spans="1:8" ht="16.5" thickBot="1" x14ac:dyDescent="0.3">
      <c r="A521" s="240" t="s">
        <v>785</v>
      </c>
      <c r="B521" s="241" t="s">
        <v>123</v>
      </c>
      <c r="C521" s="242">
        <v>2021</v>
      </c>
      <c r="D521" s="242">
        <v>0.4</v>
      </c>
      <c r="E521" s="242"/>
      <c r="F521" s="242">
        <v>15</v>
      </c>
      <c r="G521" s="243">
        <v>22.046299999999999</v>
      </c>
    </row>
    <row r="522" spans="1:8" x14ac:dyDescent="0.25">
      <c r="A522" s="236" t="s">
        <v>785</v>
      </c>
      <c r="B522" s="237" t="s">
        <v>122</v>
      </c>
      <c r="C522" s="238">
        <v>2022</v>
      </c>
      <c r="D522" s="228">
        <v>0.4</v>
      </c>
      <c r="E522" s="228"/>
      <c r="F522" s="229">
        <v>15</v>
      </c>
      <c r="G522" s="239">
        <v>8.5298999999999996</v>
      </c>
      <c r="H522" s="153"/>
    </row>
    <row r="523" spans="1:8" x14ac:dyDescent="0.25">
      <c r="A523" s="105" t="s">
        <v>785</v>
      </c>
      <c r="B523" s="94" t="s">
        <v>121</v>
      </c>
      <c r="C523" s="95">
        <v>2022</v>
      </c>
      <c r="D523" s="96">
        <v>0.4</v>
      </c>
      <c r="E523" s="96"/>
      <c r="F523" s="97">
        <v>15</v>
      </c>
      <c r="G523" s="209">
        <v>25.28098</v>
      </c>
      <c r="H523" s="147"/>
    </row>
    <row r="524" spans="1:8" x14ac:dyDescent="0.25">
      <c r="A524" s="105" t="s">
        <v>785</v>
      </c>
      <c r="B524" s="94" t="s">
        <v>399</v>
      </c>
      <c r="C524" s="95">
        <v>2022</v>
      </c>
      <c r="D524" s="96">
        <v>0.4</v>
      </c>
      <c r="E524" s="96"/>
      <c r="F524" s="97">
        <v>10</v>
      </c>
      <c r="G524" s="129">
        <v>14.67</v>
      </c>
      <c r="H524" s="147"/>
    </row>
    <row r="525" spans="1:8" x14ac:dyDescent="0.25">
      <c r="A525" s="105" t="s">
        <v>785</v>
      </c>
      <c r="B525" s="94" t="s">
        <v>120</v>
      </c>
      <c r="C525" s="95">
        <v>2022</v>
      </c>
      <c r="D525" s="96">
        <v>0.4</v>
      </c>
      <c r="E525" s="96"/>
      <c r="F525" s="97">
        <v>15</v>
      </c>
      <c r="G525" s="129">
        <v>27.48939</v>
      </c>
      <c r="H525" s="147"/>
    </row>
    <row r="526" spans="1:8" x14ac:dyDescent="0.25">
      <c r="A526" s="105" t="s">
        <v>784</v>
      </c>
      <c r="B526" s="94" t="s">
        <v>684</v>
      </c>
      <c r="C526" s="95">
        <v>2022</v>
      </c>
      <c r="D526" s="96">
        <v>0.4</v>
      </c>
      <c r="E526" s="96"/>
      <c r="F526" s="97">
        <v>3</v>
      </c>
      <c r="G526" s="203">
        <v>13.676449999999999</v>
      </c>
      <c r="H526" s="147"/>
    </row>
    <row r="527" spans="1:8" x14ac:dyDescent="0.25">
      <c r="A527" s="105" t="s">
        <v>784</v>
      </c>
      <c r="B527" s="94" t="s">
        <v>684</v>
      </c>
      <c r="C527" s="95">
        <v>2022</v>
      </c>
      <c r="D527" s="96">
        <v>0.4</v>
      </c>
      <c r="E527" s="96"/>
      <c r="F527" s="97">
        <v>3</v>
      </c>
      <c r="G527" s="203">
        <v>13.676449999999999</v>
      </c>
      <c r="H527" s="147"/>
    </row>
    <row r="528" spans="1:8" x14ac:dyDescent="0.25">
      <c r="A528" s="105" t="s">
        <v>784</v>
      </c>
      <c r="B528" s="94" t="s">
        <v>684</v>
      </c>
      <c r="C528" s="95">
        <v>2022</v>
      </c>
      <c r="D528" s="96">
        <v>0.4</v>
      </c>
      <c r="E528" s="96"/>
      <c r="F528" s="97">
        <v>3</v>
      </c>
      <c r="G528" s="203">
        <v>13.676449999999999</v>
      </c>
      <c r="H528" s="147"/>
    </row>
    <row r="529" spans="1:8" x14ac:dyDescent="0.25">
      <c r="A529" s="105" t="s">
        <v>784</v>
      </c>
      <c r="B529" s="94" t="s">
        <v>396</v>
      </c>
      <c r="C529" s="95">
        <v>2022</v>
      </c>
      <c r="D529" s="96">
        <v>0.4</v>
      </c>
      <c r="E529" s="96"/>
      <c r="F529" s="97">
        <v>5</v>
      </c>
      <c r="G529" s="202">
        <v>8.6006599999999995</v>
      </c>
      <c r="H529" s="147"/>
    </row>
    <row r="530" spans="1:8" x14ac:dyDescent="0.25">
      <c r="A530" s="105" t="s">
        <v>785</v>
      </c>
      <c r="B530" s="94" t="s">
        <v>571</v>
      </c>
      <c r="C530" s="95">
        <v>2022</v>
      </c>
      <c r="D530" s="96">
        <v>0.4</v>
      </c>
      <c r="E530" s="96"/>
      <c r="F530" s="97">
        <v>15</v>
      </c>
      <c r="G530" s="209">
        <v>23.731759999999998</v>
      </c>
      <c r="H530" s="147"/>
    </row>
    <row r="531" spans="1:8" x14ac:dyDescent="0.25">
      <c r="A531" s="105" t="s">
        <v>785</v>
      </c>
      <c r="B531" s="94" t="s">
        <v>395</v>
      </c>
      <c r="C531" s="95">
        <v>2022</v>
      </c>
      <c r="D531" s="96">
        <v>0.4</v>
      </c>
      <c r="E531" s="96"/>
      <c r="F531" s="97">
        <v>15</v>
      </c>
      <c r="G531" s="209">
        <v>25.422840000000001</v>
      </c>
      <c r="H531" s="147"/>
    </row>
    <row r="532" spans="1:8" x14ac:dyDescent="0.25">
      <c r="A532" s="105" t="s">
        <v>785</v>
      </c>
      <c r="B532" s="94" t="s">
        <v>395</v>
      </c>
      <c r="C532" s="95">
        <v>2022</v>
      </c>
      <c r="D532" s="96">
        <v>0.4</v>
      </c>
      <c r="E532" s="96"/>
      <c r="F532" s="97">
        <v>15</v>
      </c>
      <c r="G532" s="209">
        <v>25.422840000000001</v>
      </c>
      <c r="H532" s="147"/>
    </row>
    <row r="533" spans="1:8" x14ac:dyDescent="0.25">
      <c r="A533" s="105" t="s">
        <v>784</v>
      </c>
      <c r="B533" s="94" t="s">
        <v>119</v>
      </c>
      <c r="C533" s="95">
        <v>2022</v>
      </c>
      <c r="D533" s="96">
        <v>0.4</v>
      </c>
      <c r="E533" s="96"/>
      <c r="F533" s="97">
        <v>5</v>
      </c>
      <c r="G533" s="202">
        <v>12.016950000000001</v>
      </c>
      <c r="H533" s="147"/>
    </row>
    <row r="534" spans="1:8" x14ac:dyDescent="0.25">
      <c r="A534" s="105" t="s">
        <v>784</v>
      </c>
      <c r="B534" s="94" t="s">
        <v>119</v>
      </c>
      <c r="C534" s="95">
        <v>2022</v>
      </c>
      <c r="D534" s="96">
        <v>0.4</v>
      </c>
      <c r="E534" s="96"/>
      <c r="F534" s="97">
        <v>5</v>
      </c>
      <c r="G534" s="202">
        <v>11.26427</v>
      </c>
      <c r="H534" s="147"/>
    </row>
    <row r="535" spans="1:8" x14ac:dyDescent="0.25">
      <c r="A535" s="105" t="s">
        <v>784</v>
      </c>
      <c r="B535" s="94" t="s">
        <v>118</v>
      </c>
      <c r="C535" s="95">
        <v>2022</v>
      </c>
      <c r="D535" s="96">
        <v>0.4</v>
      </c>
      <c r="E535" s="96"/>
      <c r="F535" s="97">
        <v>5</v>
      </c>
      <c r="G535" s="202">
        <v>12.01445</v>
      </c>
      <c r="H535" s="147"/>
    </row>
    <row r="536" spans="1:8" x14ac:dyDescent="0.25">
      <c r="A536" s="105" t="s">
        <v>784</v>
      </c>
      <c r="B536" s="94" t="s">
        <v>117</v>
      </c>
      <c r="C536" s="95">
        <v>2022</v>
      </c>
      <c r="D536" s="96">
        <v>0.4</v>
      </c>
      <c r="E536" s="96"/>
      <c r="F536" s="97">
        <v>5</v>
      </c>
      <c r="G536" s="202">
        <v>12.01445</v>
      </c>
      <c r="H536" s="147"/>
    </row>
    <row r="537" spans="1:8" x14ac:dyDescent="0.25">
      <c r="A537" s="105" t="s">
        <v>784</v>
      </c>
      <c r="B537" s="94" t="s">
        <v>393</v>
      </c>
      <c r="C537" s="95">
        <v>2022</v>
      </c>
      <c r="D537" s="96">
        <v>0.4</v>
      </c>
      <c r="E537" s="96"/>
      <c r="F537" s="97">
        <v>2</v>
      </c>
      <c r="G537" s="202">
        <v>12.01445</v>
      </c>
      <c r="H537" s="147"/>
    </row>
    <row r="538" spans="1:8" x14ac:dyDescent="0.25">
      <c r="A538" s="105" t="s">
        <v>785</v>
      </c>
      <c r="B538" s="94" t="s">
        <v>116</v>
      </c>
      <c r="C538" s="95">
        <v>2022</v>
      </c>
      <c r="D538" s="96">
        <v>0.4</v>
      </c>
      <c r="E538" s="96"/>
      <c r="F538" s="97">
        <v>15</v>
      </c>
      <c r="G538" s="209">
        <v>28.521450000000002</v>
      </c>
      <c r="H538" s="147"/>
    </row>
    <row r="539" spans="1:8" x14ac:dyDescent="0.25">
      <c r="A539" s="105" t="s">
        <v>784</v>
      </c>
      <c r="B539" s="94" t="s">
        <v>391</v>
      </c>
      <c r="C539" s="95">
        <v>2022</v>
      </c>
      <c r="D539" s="96">
        <v>0.4</v>
      </c>
      <c r="E539" s="96"/>
      <c r="F539" s="97">
        <v>5</v>
      </c>
      <c r="G539" s="204">
        <v>29.522740000000002</v>
      </c>
      <c r="H539" s="147"/>
    </row>
    <row r="540" spans="1:8" x14ac:dyDescent="0.25">
      <c r="A540" s="105" t="s">
        <v>785</v>
      </c>
      <c r="B540" s="94" t="s">
        <v>570</v>
      </c>
      <c r="C540" s="95">
        <v>2022</v>
      </c>
      <c r="D540" s="96">
        <v>0.4</v>
      </c>
      <c r="E540" s="96"/>
      <c r="F540" s="97">
        <v>15</v>
      </c>
      <c r="G540" s="209">
        <v>23.396235000000001</v>
      </c>
      <c r="H540" s="147"/>
    </row>
    <row r="541" spans="1:8" x14ac:dyDescent="0.25">
      <c r="A541" s="105" t="s">
        <v>785</v>
      </c>
      <c r="B541" s="94" t="s">
        <v>115</v>
      </c>
      <c r="C541" s="95">
        <v>2022</v>
      </c>
      <c r="D541" s="96">
        <v>0.4</v>
      </c>
      <c r="E541" s="96"/>
      <c r="F541" s="97">
        <v>15</v>
      </c>
      <c r="G541" s="209">
        <v>23.396235000000001</v>
      </c>
      <c r="H541" s="147"/>
    </row>
    <row r="542" spans="1:8" x14ac:dyDescent="0.25">
      <c r="A542" s="105" t="s">
        <v>785</v>
      </c>
      <c r="B542" s="94" t="s">
        <v>114</v>
      </c>
      <c r="C542" s="95">
        <v>2022</v>
      </c>
      <c r="D542" s="96">
        <v>0.4</v>
      </c>
      <c r="E542" s="96"/>
      <c r="F542" s="97">
        <v>15</v>
      </c>
      <c r="G542" s="209">
        <v>25.19406</v>
      </c>
      <c r="H542" s="147"/>
    </row>
    <row r="543" spans="1:8" x14ac:dyDescent="0.25">
      <c r="A543" s="105" t="s">
        <v>785</v>
      </c>
      <c r="B543" s="94" t="s">
        <v>113</v>
      </c>
      <c r="C543" s="95">
        <v>2022</v>
      </c>
      <c r="D543" s="96">
        <v>0.4</v>
      </c>
      <c r="E543" s="96"/>
      <c r="F543" s="97">
        <v>15</v>
      </c>
      <c r="G543" s="209">
        <v>26.988</v>
      </c>
      <c r="H543" s="147"/>
    </row>
    <row r="544" spans="1:8" x14ac:dyDescent="0.25">
      <c r="A544" s="105" t="s">
        <v>785</v>
      </c>
      <c r="B544" s="94" t="s">
        <v>112</v>
      </c>
      <c r="C544" s="95">
        <v>2022</v>
      </c>
      <c r="D544" s="96">
        <v>0.4</v>
      </c>
      <c r="E544" s="96"/>
      <c r="F544" s="97">
        <v>15</v>
      </c>
      <c r="G544" s="209">
        <v>25.33764</v>
      </c>
      <c r="H544" s="147"/>
    </row>
    <row r="545" spans="1:8" x14ac:dyDescent="0.25">
      <c r="A545" s="105" t="s">
        <v>785</v>
      </c>
      <c r="B545" s="94" t="s">
        <v>569</v>
      </c>
      <c r="C545" s="95">
        <v>2022</v>
      </c>
      <c r="D545" s="96">
        <v>0.4</v>
      </c>
      <c r="E545" s="96"/>
      <c r="F545" s="97">
        <v>15</v>
      </c>
      <c r="G545" s="209">
        <v>30.170950000000001</v>
      </c>
      <c r="H545" s="147"/>
    </row>
    <row r="546" spans="1:8" x14ac:dyDescent="0.25">
      <c r="A546" s="105" t="s">
        <v>785</v>
      </c>
      <c r="B546" s="94" t="s">
        <v>569</v>
      </c>
      <c r="C546" s="95">
        <v>2022</v>
      </c>
      <c r="D546" s="96">
        <v>0.4</v>
      </c>
      <c r="E546" s="96"/>
      <c r="F546" s="97">
        <v>15</v>
      </c>
      <c r="G546" s="209">
        <v>30.170950000000001</v>
      </c>
      <c r="H546" s="147"/>
    </row>
    <row r="547" spans="1:8" x14ac:dyDescent="0.25">
      <c r="A547" s="105" t="s">
        <v>785</v>
      </c>
      <c r="B547" s="94" t="s">
        <v>111</v>
      </c>
      <c r="C547" s="95">
        <v>2022</v>
      </c>
      <c r="D547" s="96">
        <v>0.4</v>
      </c>
      <c r="E547" s="96"/>
      <c r="F547" s="97">
        <v>15</v>
      </c>
      <c r="G547" s="209">
        <v>25.28098</v>
      </c>
      <c r="H547" s="147"/>
    </row>
    <row r="548" spans="1:8" x14ac:dyDescent="0.25">
      <c r="A548" s="105" t="s">
        <v>785</v>
      </c>
      <c r="B548" s="94" t="s">
        <v>110</v>
      </c>
      <c r="C548" s="95">
        <v>2022</v>
      </c>
      <c r="D548" s="96">
        <v>0.4</v>
      </c>
      <c r="E548" s="96"/>
      <c r="F548" s="97">
        <v>15</v>
      </c>
      <c r="G548" s="209">
        <v>26.770820000000001</v>
      </c>
      <c r="H548" s="147"/>
    </row>
    <row r="549" spans="1:8" x14ac:dyDescent="0.25">
      <c r="A549" s="105" t="s">
        <v>785</v>
      </c>
      <c r="B549" s="94" t="s">
        <v>109</v>
      </c>
      <c r="C549" s="95">
        <v>2022</v>
      </c>
      <c r="D549" s="96">
        <v>0.4</v>
      </c>
      <c r="E549" s="96"/>
      <c r="F549" s="97">
        <v>15</v>
      </c>
      <c r="G549" s="209">
        <v>24.61083</v>
      </c>
      <c r="H549" s="147"/>
    </row>
    <row r="550" spans="1:8" x14ac:dyDescent="0.25">
      <c r="A550" s="105" t="s">
        <v>784</v>
      </c>
      <c r="B550" s="94" t="s">
        <v>394</v>
      </c>
      <c r="C550" s="95">
        <v>2022</v>
      </c>
      <c r="D550" s="96">
        <v>0.4</v>
      </c>
      <c r="E550" s="96"/>
      <c r="F550" s="97">
        <v>5</v>
      </c>
      <c r="G550" s="203">
        <v>29.522749999999998</v>
      </c>
      <c r="H550" s="147"/>
    </row>
    <row r="551" spans="1:8" x14ac:dyDescent="0.25">
      <c r="A551" s="105" t="s">
        <v>784</v>
      </c>
      <c r="B551" s="94" t="s">
        <v>568</v>
      </c>
      <c r="C551" s="95">
        <v>2022</v>
      </c>
      <c r="D551" s="96">
        <v>0.4</v>
      </c>
      <c r="E551" s="96"/>
      <c r="F551" s="97">
        <v>5</v>
      </c>
      <c r="G551" s="209">
        <v>13.447683333333334</v>
      </c>
      <c r="H551" s="147"/>
    </row>
    <row r="552" spans="1:8" x14ac:dyDescent="0.25">
      <c r="A552" s="105" t="s">
        <v>784</v>
      </c>
      <c r="B552" s="94" t="s">
        <v>568</v>
      </c>
      <c r="C552" s="95">
        <v>2022</v>
      </c>
      <c r="D552" s="96">
        <v>0.4</v>
      </c>
      <c r="E552" s="96"/>
      <c r="F552" s="97">
        <v>5</v>
      </c>
      <c r="G552" s="209">
        <v>13.447683333333334</v>
      </c>
      <c r="H552" s="147"/>
    </row>
    <row r="553" spans="1:8" x14ac:dyDescent="0.25">
      <c r="A553" s="105" t="s">
        <v>784</v>
      </c>
      <c r="B553" s="94" t="s">
        <v>568</v>
      </c>
      <c r="C553" s="95">
        <v>2022</v>
      </c>
      <c r="D553" s="96">
        <v>0.4</v>
      </c>
      <c r="E553" s="96"/>
      <c r="F553" s="97">
        <v>5</v>
      </c>
      <c r="G553" s="209">
        <v>13.447683333333334</v>
      </c>
      <c r="H553" s="147"/>
    </row>
    <row r="554" spans="1:8" x14ac:dyDescent="0.25">
      <c r="A554" s="105" t="s">
        <v>784</v>
      </c>
      <c r="B554" s="94" t="s">
        <v>568</v>
      </c>
      <c r="C554" s="95">
        <v>2022</v>
      </c>
      <c r="D554" s="96">
        <v>0.4</v>
      </c>
      <c r="E554" s="96"/>
      <c r="F554" s="97">
        <v>5</v>
      </c>
      <c r="G554" s="209">
        <v>13.447683333333334</v>
      </c>
      <c r="H554" s="147"/>
    </row>
    <row r="555" spans="1:8" x14ac:dyDescent="0.25">
      <c r="A555" s="105" t="s">
        <v>784</v>
      </c>
      <c r="B555" s="94" t="s">
        <v>568</v>
      </c>
      <c r="C555" s="95">
        <v>2022</v>
      </c>
      <c r="D555" s="96">
        <v>0.4</v>
      </c>
      <c r="E555" s="96"/>
      <c r="F555" s="97">
        <v>5</v>
      </c>
      <c r="G555" s="209">
        <v>13.447683333333334</v>
      </c>
      <c r="H555" s="147"/>
    </row>
    <row r="556" spans="1:8" x14ac:dyDescent="0.25">
      <c r="A556" s="105" t="s">
        <v>784</v>
      </c>
      <c r="B556" s="94" t="s">
        <v>568</v>
      </c>
      <c r="C556" s="95">
        <v>2022</v>
      </c>
      <c r="D556" s="96">
        <v>0.4</v>
      </c>
      <c r="E556" s="96"/>
      <c r="F556" s="97">
        <v>5</v>
      </c>
      <c r="G556" s="209">
        <v>13.447683333333334</v>
      </c>
      <c r="H556" s="147"/>
    </row>
    <row r="557" spans="1:8" x14ac:dyDescent="0.25">
      <c r="A557" s="105" t="s">
        <v>785</v>
      </c>
      <c r="B557" s="94" t="s">
        <v>108</v>
      </c>
      <c r="C557" s="95">
        <v>2022</v>
      </c>
      <c r="D557" s="96">
        <v>0.4</v>
      </c>
      <c r="E557" s="96"/>
      <c r="F557" s="97">
        <v>15</v>
      </c>
      <c r="G557" s="209">
        <v>25.379150000000003</v>
      </c>
      <c r="H557" s="147"/>
    </row>
    <row r="558" spans="1:8" x14ac:dyDescent="0.25">
      <c r="A558" s="105" t="s">
        <v>785</v>
      </c>
      <c r="B558" s="94" t="s">
        <v>107</v>
      </c>
      <c r="C558" s="95">
        <v>2022</v>
      </c>
      <c r="D558" s="96">
        <v>0.4</v>
      </c>
      <c r="E558" s="96"/>
      <c r="F558" s="97">
        <v>15</v>
      </c>
      <c r="G558" s="209">
        <v>25.172249999999998</v>
      </c>
      <c r="H558" s="147"/>
    </row>
    <row r="559" spans="1:8" x14ac:dyDescent="0.25">
      <c r="A559" s="105" t="s">
        <v>785</v>
      </c>
      <c r="B559" s="94" t="s">
        <v>106</v>
      </c>
      <c r="C559" s="95">
        <v>2022</v>
      </c>
      <c r="D559" s="96">
        <v>0.4</v>
      </c>
      <c r="E559" s="96"/>
      <c r="F559" s="97">
        <v>15</v>
      </c>
      <c r="G559" s="209">
        <v>25.172249999999998</v>
      </c>
      <c r="H559" s="147"/>
    </row>
    <row r="560" spans="1:8" x14ac:dyDescent="0.25">
      <c r="A560" s="105" t="s">
        <v>785</v>
      </c>
      <c r="B560" s="94" t="s">
        <v>105</v>
      </c>
      <c r="C560" s="95">
        <v>2022</v>
      </c>
      <c r="D560" s="96">
        <v>0.4</v>
      </c>
      <c r="E560" s="96"/>
      <c r="F560" s="97">
        <v>15</v>
      </c>
      <c r="G560" s="209">
        <v>25.172249999999998</v>
      </c>
      <c r="H560" s="147"/>
    </row>
    <row r="561" spans="1:8" x14ac:dyDescent="0.25">
      <c r="A561" s="105" t="s">
        <v>785</v>
      </c>
      <c r="B561" s="94" t="s">
        <v>104</v>
      </c>
      <c r="C561" s="95">
        <v>2022</v>
      </c>
      <c r="D561" s="96">
        <v>0.4</v>
      </c>
      <c r="E561" s="96"/>
      <c r="F561" s="97">
        <v>15</v>
      </c>
      <c r="G561" s="209">
        <v>25.172249999999998</v>
      </c>
      <c r="H561" s="147"/>
    </row>
    <row r="562" spans="1:8" x14ac:dyDescent="0.25">
      <c r="A562" s="105" t="s">
        <v>785</v>
      </c>
      <c r="B562" s="94" t="s">
        <v>103</v>
      </c>
      <c r="C562" s="95">
        <v>2022</v>
      </c>
      <c r="D562" s="96">
        <v>0.4</v>
      </c>
      <c r="E562" s="96"/>
      <c r="F562" s="97">
        <v>15</v>
      </c>
      <c r="G562" s="209">
        <v>24.27786</v>
      </c>
      <c r="H562" s="147"/>
    </row>
    <row r="563" spans="1:8" x14ac:dyDescent="0.25">
      <c r="A563" s="105" t="s">
        <v>785</v>
      </c>
      <c r="B563" s="94" t="s">
        <v>102</v>
      </c>
      <c r="C563" s="95">
        <v>2022</v>
      </c>
      <c r="D563" s="96">
        <v>0.4</v>
      </c>
      <c r="E563" s="96"/>
      <c r="F563" s="97">
        <v>15</v>
      </c>
      <c r="G563" s="209">
        <v>25.299509999999998</v>
      </c>
      <c r="H563" s="147"/>
    </row>
    <row r="564" spans="1:8" x14ac:dyDescent="0.25">
      <c r="A564" s="105" t="s">
        <v>785</v>
      </c>
      <c r="B564" s="94" t="s">
        <v>686</v>
      </c>
      <c r="C564" s="95">
        <v>2022</v>
      </c>
      <c r="D564" s="96">
        <v>0.4</v>
      </c>
      <c r="E564" s="96"/>
      <c r="F564" s="97">
        <v>8</v>
      </c>
      <c r="G564" s="209">
        <v>26.300830000000001</v>
      </c>
      <c r="H564" s="147"/>
    </row>
    <row r="565" spans="1:8" x14ac:dyDescent="0.25">
      <c r="A565" s="105" t="s">
        <v>785</v>
      </c>
      <c r="B565" s="94" t="s">
        <v>101</v>
      </c>
      <c r="C565" s="95">
        <v>2022</v>
      </c>
      <c r="D565" s="96">
        <v>0.4</v>
      </c>
      <c r="E565" s="96"/>
      <c r="F565" s="97">
        <v>15</v>
      </c>
      <c r="G565" s="209">
        <v>51.980499999999999</v>
      </c>
      <c r="H565" s="147"/>
    </row>
    <row r="566" spans="1:8" x14ac:dyDescent="0.25">
      <c r="A566" s="105" t="s">
        <v>785</v>
      </c>
      <c r="B566" s="94" t="s">
        <v>100</v>
      </c>
      <c r="C566" s="95">
        <v>2022</v>
      </c>
      <c r="D566" s="96">
        <v>0.4</v>
      </c>
      <c r="E566" s="96"/>
      <c r="F566" s="97">
        <v>15</v>
      </c>
      <c r="G566" s="209">
        <v>46.388800000000003</v>
      </c>
      <c r="H566" s="147"/>
    </row>
    <row r="567" spans="1:8" x14ac:dyDescent="0.25">
      <c r="A567" s="105" t="s">
        <v>785</v>
      </c>
      <c r="B567" s="94" t="s">
        <v>99</v>
      </c>
      <c r="C567" s="95">
        <v>2022</v>
      </c>
      <c r="D567" s="96">
        <v>0.4</v>
      </c>
      <c r="E567" s="96"/>
      <c r="F567" s="97">
        <v>15</v>
      </c>
      <c r="G567" s="209">
        <v>23.661440000000002</v>
      </c>
      <c r="H567" s="147"/>
    </row>
    <row r="568" spans="1:8" x14ac:dyDescent="0.25">
      <c r="A568" s="105" t="s">
        <v>785</v>
      </c>
      <c r="B568" s="94" t="s">
        <v>98</v>
      </c>
      <c r="C568" s="95">
        <v>2022</v>
      </c>
      <c r="D568" s="96">
        <v>0.4</v>
      </c>
      <c r="E568" s="96"/>
      <c r="F568" s="97">
        <v>15</v>
      </c>
      <c r="G568" s="209">
        <v>25.33765</v>
      </c>
      <c r="H568" s="147"/>
    </row>
    <row r="569" spans="1:8" x14ac:dyDescent="0.25">
      <c r="A569" s="105" t="s">
        <v>785</v>
      </c>
      <c r="B569" s="94" t="s">
        <v>97</v>
      </c>
      <c r="C569" s="95">
        <v>2022</v>
      </c>
      <c r="D569" s="96">
        <v>0.4</v>
      </c>
      <c r="E569" s="96"/>
      <c r="F569" s="97">
        <v>15</v>
      </c>
      <c r="G569" s="209">
        <v>25.33765</v>
      </c>
      <c r="H569" s="147"/>
    </row>
    <row r="570" spans="1:8" x14ac:dyDescent="0.25">
      <c r="A570" s="105" t="s">
        <v>785</v>
      </c>
      <c r="B570" s="94" t="s">
        <v>96</v>
      </c>
      <c r="C570" s="95">
        <v>2022</v>
      </c>
      <c r="D570" s="96">
        <v>0.4</v>
      </c>
      <c r="E570" s="96"/>
      <c r="F570" s="97">
        <v>15</v>
      </c>
      <c r="G570" s="209">
        <v>26.612779999999997</v>
      </c>
      <c r="H570" s="147"/>
    </row>
    <row r="571" spans="1:8" x14ac:dyDescent="0.25">
      <c r="A571" s="105" t="s">
        <v>784</v>
      </c>
      <c r="B571" s="94" t="s">
        <v>95</v>
      </c>
      <c r="C571" s="95">
        <v>2022</v>
      </c>
      <c r="D571" s="96">
        <v>0.4</v>
      </c>
      <c r="E571" s="96"/>
      <c r="F571" s="97">
        <v>5</v>
      </c>
      <c r="G571" s="202">
        <v>26.612779999999997</v>
      </c>
      <c r="H571" s="147"/>
    </row>
    <row r="572" spans="1:8" x14ac:dyDescent="0.25">
      <c r="A572" s="105" t="s">
        <v>785</v>
      </c>
      <c r="B572" s="94" t="s">
        <v>94</v>
      </c>
      <c r="C572" s="95">
        <v>2022</v>
      </c>
      <c r="D572" s="96">
        <v>0.4</v>
      </c>
      <c r="E572" s="96"/>
      <c r="F572" s="97">
        <v>15</v>
      </c>
      <c r="G572" s="209">
        <v>14.787780000000001</v>
      </c>
      <c r="H572" s="147"/>
    </row>
    <row r="573" spans="1:8" x14ac:dyDescent="0.25">
      <c r="A573" s="105" t="s">
        <v>784</v>
      </c>
      <c r="B573" s="94" t="s">
        <v>93</v>
      </c>
      <c r="C573" s="95">
        <v>2022</v>
      </c>
      <c r="D573" s="96">
        <v>0.4</v>
      </c>
      <c r="E573" s="96"/>
      <c r="F573" s="97">
        <v>5</v>
      </c>
      <c r="G573" s="202">
        <v>14.673440000000001</v>
      </c>
      <c r="H573" s="147"/>
    </row>
    <row r="574" spans="1:8" x14ac:dyDescent="0.25">
      <c r="A574" s="105" t="s">
        <v>785</v>
      </c>
      <c r="B574" s="94" t="s">
        <v>92</v>
      </c>
      <c r="C574" s="95">
        <v>2022</v>
      </c>
      <c r="D574" s="96">
        <v>0.4</v>
      </c>
      <c r="E574" s="96"/>
      <c r="F574" s="97">
        <v>15</v>
      </c>
      <c r="G574" s="209">
        <v>27.066490000000002</v>
      </c>
      <c r="H574" s="147"/>
    </row>
    <row r="575" spans="1:8" x14ac:dyDescent="0.25">
      <c r="A575" s="105" t="s">
        <v>785</v>
      </c>
      <c r="B575" s="94" t="s">
        <v>91</v>
      </c>
      <c r="C575" s="95">
        <v>2022</v>
      </c>
      <c r="D575" s="96">
        <v>0.4</v>
      </c>
      <c r="E575" s="96"/>
      <c r="F575" s="97">
        <v>15</v>
      </c>
      <c r="G575" s="209">
        <v>25.43534</v>
      </c>
      <c r="H575" s="147"/>
    </row>
    <row r="576" spans="1:8" x14ac:dyDescent="0.25">
      <c r="A576" s="105" t="s">
        <v>785</v>
      </c>
      <c r="B576" s="94" t="s">
        <v>90</v>
      </c>
      <c r="C576" s="95">
        <v>2022</v>
      </c>
      <c r="D576" s="96">
        <v>0.4</v>
      </c>
      <c r="E576" s="96"/>
      <c r="F576" s="97">
        <v>10</v>
      </c>
      <c r="G576" s="129">
        <v>28.255500000000001</v>
      </c>
      <c r="H576" s="147"/>
    </row>
    <row r="577" spans="1:8" x14ac:dyDescent="0.25">
      <c r="A577" s="105" t="s">
        <v>784</v>
      </c>
      <c r="B577" s="94" t="s">
        <v>89</v>
      </c>
      <c r="C577" s="95">
        <v>2022</v>
      </c>
      <c r="D577" s="96">
        <v>0.4</v>
      </c>
      <c r="E577" s="96"/>
      <c r="F577" s="97">
        <v>5</v>
      </c>
      <c r="G577" s="202">
        <v>13.152379999999999</v>
      </c>
      <c r="H577" s="147"/>
    </row>
    <row r="578" spans="1:8" x14ac:dyDescent="0.25">
      <c r="A578" s="105" t="s">
        <v>784</v>
      </c>
      <c r="B578" s="94" t="s">
        <v>689</v>
      </c>
      <c r="C578" s="95">
        <v>2022</v>
      </c>
      <c r="D578" s="96">
        <v>0.4</v>
      </c>
      <c r="E578" s="96"/>
      <c r="F578" s="97">
        <v>5</v>
      </c>
      <c r="G578" s="202">
        <v>14.48039</v>
      </c>
      <c r="H578" s="147"/>
    </row>
    <row r="579" spans="1:8" x14ac:dyDescent="0.25">
      <c r="A579" s="105" t="s">
        <v>784</v>
      </c>
      <c r="B579" s="94" t="s">
        <v>689</v>
      </c>
      <c r="C579" s="95">
        <v>2022</v>
      </c>
      <c r="D579" s="96">
        <v>0.4</v>
      </c>
      <c r="E579" s="96"/>
      <c r="F579" s="97">
        <v>5</v>
      </c>
      <c r="G579" s="202">
        <v>14.480399999999999</v>
      </c>
      <c r="H579" s="147"/>
    </row>
    <row r="580" spans="1:8" x14ac:dyDescent="0.25">
      <c r="A580" s="105" t="s">
        <v>784</v>
      </c>
      <c r="B580" s="94" t="s">
        <v>689</v>
      </c>
      <c r="C580" s="95">
        <v>2022</v>
      </c>
      <c r="D580" s="96">
        <v>0.4</v>
      </c>
      <c r="E580" s="96"/>
      <c r="F580" s="97">
        <v>5</v>
      </c>
      <c r="G580" s="202">
        <v>14.48039</v>
      </c>
      <c r="H580" s="147"/>
    </row>
    <row r="581" spans="1:8" x14ac:dyDescent="0.25">
      <c r="A581" s="105" t="s">
        <v>784</v>
      </c>
      <c r="B581" s="94" t="s">
        <v>689</v>
      </c>
      <c r="C581" s="95">
        <v>2022</v>
      </c>
      <c r="D581" s="96">
        <v>0.4</v>
      </c>
      <c r="E581" s="96"/>
      <c r="F581" s="97">
        <v>5</v>
      </c>
      <c r="G581" s="202">
        <v>13.949549999999999</v>
      </c>
      <c r="H581" s="147"/>
    </row>
    <row r="582" spans="1:8" x14ac:dyDescent="0.25">
      <c r="A582" s="105" t="s">
        <v>784</v>
      </c>
      <c r="B582" s="94" t="s">
        <v>689</v>
      </c>
      <c r="C582" s="95">
        <v>2022</v>
      </c>
      <c r="D582" s="96">
        <v>0.4</v>
      </c>
      <c r="E582" s="96"/>
      <c r="F582" s="97">
        <v>5</v>
      </c>
      <c r="G582" s="202">
        <v>13.97955</v>
      </c>
      <c r="H582" s="147"/>
    </row>
    <row r="583" spans="1:8" x14ac:dyDescent="0.25">
      <c r="A583" s="105" t="s">
        <v>784</v>
      </c>
      <c r="B583" s="94" t="s">
        <v>689</v>
      </c>
      <c r="C583" s="95">
        <v>2022</v>
      </c>
      <c r="D583" s="96">
        <v>0.4</v>
      </c>
      <c r="E583" s="96"/>
      <c r="F583" s="97">
        <v>5</v>
      </c>
      <c r="G583" s="202">
        <v>14.061219999999999</v>
      </c>
      <c r="H583" s="147"/>
    </row>
    <row r="584" spans="1:8" x14ac:dyDescent="0.25">
      <c r="A584" s="105" t="s">
        <v>784</v>
      </c>
      <c r="B584" s="94" t="s">
        <v>689</v>
      </c>
      <c r="C584" s="95">
        <v>2022</v>
      </c>
      <c r="D584" s="96">
        <v>0.4</v>
      </c>
      <c r="E584" s="96"/>
      <c r="F584" s="97">
        <v>5</v>
      </c>
      <c r="G584" s="202">
        <v>14.29622</v>
      </c>
      <c r="H584" s="147"/>
    </row>
    <row r="585" spans="1:8" x14ac:dyDescent="0.25">
      <c r="A585" s="105" t="s">
        <v>784</v>
      </c>
      <c r="B585" s="94" t="s">
        <v>689</v>
      </c>
      <c r="C585" s="95">
        <v>2022</v>
      </c>
      <c r="D585" s="96">
        <v>0.4</v>
      </c>
      <c r="E585" s="96"/>
      <c r="F585" s="97">
        <v>5</v>
      </c>
      <c r="G585" s="202">
        <v>14.3904</v>
      </c>
      <c r="H585" s="147"/>
    </row>
    <row r="586" spans="1:8" x14ac:dyDescent="0.25">
      <c r="A586" s="105" t="s">
        <v>784</v>
      </c>
      <c r="B586" s="94" t="s">
        <v>689</v>
      </c>
      <c r="C586" s="95">
        <v>2022</v>
      </c>
      <c r="D586" s="96">
        <v>0.4</v>
      </c>
      <c r="E586" s="96"/>
      <c r="F586" s="97">
        <v>5</v>
      </c>
      <c r="G586" s="202">
        <v>14.337899999999999</v>
      </c>
      <c r="H586" s="147"/>
    </row>
    <row r="587" spans="1:8" x14ac:dyDescent="0.25">
      <c r="A587" s="105" t="s">
        <v>784</v>
      </c>
      <c r="B587" s="94" t="s">
        <v>88</v>
      </c>
      <c r="C587" s="95">
        <v>2022</v>
      </c>
      <c r="D587" s="96">
        <v>0.4</v>
      </c>
      <c r="E587" s="96"/>
      <c r="F587" s="97">
        <v>5</v>
      </c>
      <c r="G587" s="202">
        <v>12.83817</v>
      </c>
      <c r="H587" s="147"/>
    </row>
    <row r="588" spans="1:8" x14ac:dyDescent="0.25">
      <c r="A588" s="105" t="s">
        <v>785</v>
      </c>
      <c r="B588" s="94" t="s">
        <v>87</v>
      </c>
      <c r="C588" s="95">
        <v>2022</v>
      </c>
      <c r="D588" s="96">
        <v>0.4</v>
      </c>
      <c r="E588" s="96"/>
      <c r="F588" s="97">
        <v>15</v>
      </c>
      <c r="G588" s="209">
        <v>46.779660000000007</v>
      </c>
      <c r="H588" s="147"/>
    </row>
    <row r="589" spans="1:8" x14ac:dyDescent="0.25">
      <c r="A589" s="105" t="s">
        <v>784</v>
      </c>
      <c r="B589" s="94" t="s">
        <v>63</v>
      </c>
      <c r="C589" s="95">
        <v>2022</v>
      </c>
      <c r="D589" s="96">
        <v>0.4</v>
      </c>
      <c r="E589" s="96"/>
      <c r="F589" s="97">
        <v>5</v>
      </c>
      <c r="G589" s="202">
        <v>13.05903</v>
      </c>
      <c r="H589" s="147"/>
    </row>
    <row r="590" spans="1:8" x14ac:dyDescent="0.25">
      <c r="A590" s="105" t="s">
        <v>785</v>
      </c>
      <c r="B590" s="94" t="s">
        <v>86</v>
      </c>
      <c r="C590" s="95">
        <v>2022</v>
      </c>
      <c r="D590" s="96">
        <v>0.4</v>
      </c>
      <c r="E590" s="96"/>
      <c r="F590" s="97">
        <v>15</v>
      </c>
      <c r="G590" s="209">
        <v>25.59965</v>
      </c>
      <c r="H590" s="147"/>
    </row>
    <row r="591" spans="1:8" x14ac:dyDescent="0.25">
      <c r="A591" s="105" t="s">
        <v>785</v>
      </c>
      <c r="B591" s="94" t="s">
        <v>85</v>
      </c>
      <c r="C591" s="95">
        <v>2022</v>
      </c>
      <c r="D591" s="96">
        <v>0.4</v>
      </c>
      <c r="E591" s="96"/>
      <c r="F591" s="97">
        <v>15</v>
      </c>
      <c r="G591" s="209">
        <v>25.728660000000001</v>
      </c>
      <c r="H591" s="147"/>
    </row>
    <row r="592" spans="1:8" x14ac:dyDescent="0.25">
      <c r="A592" s="105" t="s">
        <v>785</v>
      </c>
      <c r="B592" s="94" t="s">
        <v>84</v>
      </c>
      <c r="C592" s="95">
        <v>2022</v>
      </c>
      <c r="D592" s="96">
        <v>0.4</v>
      </c>
      <c r="E592" s="96"/>
      <c r="F592" s="97">
        <v>15</v>
      </c>
      <c r="G592" s="209">
        <v>25.367650000000001</v>
      </c>
      <c r="H592" s="147"/>
    </row>
    <row r="593" spans="1:8" x14ac:dyDescent="0.25">
      <c r="A593" s="105" t="s">
        <v>785</v>
      </c>
      <c r="B593" s="94" t="s">
        <v>83</v>
      </c>
      <c r="C593" s="95">
        <v>2022</v>
      </c>
      <c r="D593" s="96">
        <v>0.4</v>
      </c>
      <c r="E593" s="96"/>
      <c r="F593" s="97">
        <v>15</v>
      </c>
      <c r="G593" s="209">
        <v>49.015500000000003</v>
      </c>
      <c r="H593" s="147"/>
    </row>
    <row r="594" spans="1:8" x14ac:dyDescent="0.25">
      <c r="A594" s="105" t="s">
        <v>785</v>
      </c>
      <c r="B594" s="94" t="s">
        <v>82</v>
      </c>
      <c r="C594" s="95">
        <v>2022</v>
      </c>
      <c r="D594" s="96">
        <v>0.4</v>
      </c>
      <c r="E594" s="96"/>
      <c r="F594" s="97">
        <v>15</v>
      </c>
      <c r="G594" s="209">
        <v>25.59967</v>
      </c>
      <c r="H594" s="147"/>
    </row>
    <row r="595" spans="1:8" x14ac:dyDescent="0.25">
      <c r="A595" s="105" t="s">
        <v>785</v>
      </c>
      <c r="B595" s="94" t="s">
        <v>81</v>
      </c>
      <c r="C595" s="95">
        <v>2022</v>
      </c>
      <c r="D595" s="96">
        <v>0.4</v>
      </c>
      <c r="E595" s="96"/>
      <c r="F595" s="97">
        <v>15</v>
      </c>
      <c r="G595" s="209">
        <v>25.36431</v>
      </c>
      <c r="H595" s="147"/>
    </row>
    <row r="596" spans="1:8" x14ac:dyDescent="0.25">
      <c r="A596" s="105" t="s">
        <v>784</v>
      </c>
      <c r="B596" s="94" t="s">
        <v>80</v>
      </c>
      <c r="C596" s="95">
        <v>2022</v>
      </c>
      <c r="D596" s="96">
        <v>0.4</v>
      </c>
      <c r="E596" s="96"/>
      <c r="F596" s="97">
        <v>5</v>
      </c>
      <c r="G596" s="202">
        <v>13.093209999999999</v>
      </c>
      <c r="H596" s="147"/>
    </row>
    <row r="597" spans="1:8" x14ac:dyDescent="0.25">
      <c r="A597" s="105" t="s">
        <v>784</v>
      </c>
      <c r="B597" s="110" t="s">
        <v>89</v>
      </c>
      <c r="C597" s="95">
        <v>2022</v>
      </c>
      <c r="D597" s="96">
        <v>0.4</v>
      </c>
      <c r="E597" s="96"/>
      <c r="F597" s="111">
        <v>5</v>
      </c>
      <c r="G597" s="204">
        <v>13.313600000000001</v>
      </c>
      <c r="H597" s="147"/>
    </row>
    <row r="598" spans="1:8" x14ac:dyDescent="0.25">
      <c r="A598" s="105" t="s">
        <v>785</v>
      </c>
      <c r="B598" s="94" t="s">
        <v>79</v>
      </c>
      <c r="C598" s="95">
        <v>2022</v>
      </c>
      <c r="D598" s="96">
        <v>0.4</v>
      </c>
      <c r="E598" s="96"/>
      <c r="F598" s="97">
        <v>15</v>
      </c>
      <c r="G598" s="209">
        <v>25.33766</v>
      </c>
      <c r="H598" s="147"/>
    </row>
    <row r="599" spans="1:8" x14ac:dyDescent="0.25">
      <c r="A599" s="105" t="s">
        <v>784</v>
      </c>
      <c r="B599" s="94" t="s">
        <v>78</v>
      </c>
      <c r="C599" s="95">
        <v>2022</v>
      </c>
      <c r="D599" s="96">
        <v>0.4</v>
      </c>
      <c r="E599" s="96"/>
      <c r="F599" s="97">
        <v>5</v>
      </c>
      <c r="G599" s="202">
        <v>15.743</v>
      </c>
      <c r="H599" s="147"/>
    </row>
    <row r="600" spans="1:8" x14ac:dyDescent="0.25">
      <c r="A600" s="105" t="s">
        <v>785</v>
      </c>
      <c r="B600" s="94" t="s">
        <v>77</v>
      </c>
      <c r="C600" s="95">
        <v>2022</v>
      </c>
      <c r="D600" s="96">
        <v>0.4</v>
      </c>
      <c r="E600" s="96"/>
      <c r="F600" s="97">
        <v>15</v>
      </c>
      <c r="G600" s="209">
        <v>46.479669999999999</v>
      </c>
      <c r="H600" s="147"/>
    </row>
    <row r="601" spans="1:8" x14ac:dyDescent="0.25">
      <c r="A601" s="105" t="s">
        <v>785</v>
      </c>
      <c r="B601" s="94" t="s">
        <v>76</v>
      </c>
      <c r="C601" s="95">
        <v>2022</v>
      </c>
      <c r="D601" s="96">
        <v>0.4</v>
      </c>
      <c r="E601" s="96"/>
      <c r="F601" s="97">
        <v>15</v>
      </c>
      <c r="G601" s="209">
        <v>25.16667</v>
      </c>
      <c r="H601" s="147"/>
    </row>
    <row r="602" spans="1:8" x14ac:dyDescent="0.25">
      <c r="A602" s="105" t="s">
        <v>785</v>
      </c>
      <c r="B602" s="94" t="s">
        <v>75</v>
      </c>
      <c r="C602" s="95">
        <v>2022</v>
      </c>
      <c r="D602" s="96">
        <v>0.4</v>
      </c>
      <c r="E602" s="96"/>
      <c r="F602" s="97">
        <v>15</v>
      </c>
      <c r="G602" s="209">
        <v>25.36431</v>
      </c>
      <c r="H602" s="147"/>
    </row>
    <row r="603" spans="1:8" x14ac:dyDescent="0.25">
      <c r="A603" s="105" t="s">
        <v>784</v>
      </c>
      <c r="B603" s="94" t="s">
        <v>74</v>
      </c>
      <c r="C603" s="95">
        <v>2022</v>
      </c>
      <c r="D603" s="96">
        <v>0.4</v>
      </c>
      <c r="E603" s="96"/>
      <c r="F603" s="97">
        <v>6</v>
      </c>
      <c r="G603" s="202">
        <v>27.326490000000003</v>
      </c>
      <c r="H603" s="147"/>
    </row>
    <row r="604" spans="1:8" x14ac:dyDescent="0.25">
      <c r="A604" s="105" t="s">
        <v>784</v>
      </c>
      <c r="B604" s="94" t="s">
        <v>73</v>
      </c>
      <c r="C604" s="95">
        <v>2022</v>
      </c>
      <c r="D604" s="96">
        <v>0.4</v>
      </c>
      <c r="E604" s="96"/>
      <c r="F604" s="97">
        <v>5</v>
      </c>
      <c r="G604" s="202">
        <v>12.868589999999999</v>
      </c>
      <c r="H604" s="147"/>
    </row>
    <row r="605" spans="1:8" x14ac:dyDescent="0.25">
      <c r="A605" s="105" t="s">
        <v>785</v>
      </c>
      <c r="B605" s="94" t="s">
        <v>72</v>
      </c>
      <c r="C605" s="95">
        <v>2022</v>
      </c>
      <c r="D605" s="96">
        <v>0.4</v>
      </c>
      <c r="E605" s="96"/>
      <c r="F605" s="97">
        <v>15</v>
      </c>
      <c r="G605" s="209">
        <v>25.45298</v>
      </c>
      <c r="H605" s="147"/>
    </row>
    <row r="606" spans="1:8" x14ac:dyDescent="0.25">
      <c r="A606" s="105" t="s">
        <v>784</v>
      </c>
      <c r="B606" s="94" t="s">
        <v>71</v>
      </c>
      <c r="C606" s="95">
        <v>2022</v>
      </c>
      <c r="D606" s="96">
        <v>0.4</v>
      </c>
      <c r="E606" s="96"/>
      <c r="F606" s="97">
        <v>5</v>
      </c>
      <c r="G606" s="202">
        <v>13.21067</v>
      </c>
      <c r="H606" s="147"/>
    </row>
    <row r="607" spans="1:8" x14ac:dyDescent="0.25">
      <c r="A607" s="105" t="s">
        <v>784</v>
      </c>
      <c r="B607" s="94" t="s">
        <v>70</v>
      </c>
      <c r="C607" s="95">
        <v>2022</v>
      </c>
      <c r="D607" s="96">
        <v>0.4</v>
      </c>
      <c r="E607" s="96"/>
      <c r="F607" s="97">
        <v>5</v>
      </c>
      <c r="G607" s="202">
        <v>13.10492</v>
      </c>
      <c r="H607" s="147"/>
    </row>
    <row r="608" spans="1:8" x14ac:dyDescent="0.25">
      <c r="A608" s="105" t="s">
        <v>784</v>
      </c>
      <c r="B608" s="94" t="s">
        <v>69</v>
      </c>
      <c r="C608" s="95">
        <v>2022</v>
      </c>
      <c r="D608" s="96">
        <v>0.4</v>
      </c>
      <c r="E608" s="96"/>
      <c r="F608" s="97">
        <v>5</v>
      </c>
      <c r="G608" s="202">
        <v>30.546529999999997</v>
      </c>
      <c r="H608" s="147"/>
    </row>
    <row r="609" spans="1:8" x14ac:dyDescent="0.25">
      <c r="A609" s="105" t="s">
        <v>784</v>
      </c>
      <c r="B609" s="94" t="s">
        <v>68</v>
      </c>
      <c r="C609" s="95">
        <v>2022</v>
      </c>
      <c r="D609" s="96">
        <v>0.4</v>
      </c>
      <c r="E609" s="96"/>
      <c r="F609" s="97">
        <v>5</v>
      </c>
      <c r="G609" s="202">
        <v>15.51618</v>
      </c>
      <c r="H609" s="147"/>
    </row>
    <row r="610" spans="1:8" x14ac:dyDescent="0.25">
      <c r="A610" s="105" t="s">
        <v>785</v>
      </c>
      <c r="B610" s="94" t="s">
        <v>67</v>
      </c>
      <c r="C610" s="95">
        <v>2022</v>
      </c>
      <c r="D610" s="96">
        <v>0.4</v>
      </c>
      <c r="E610" s="96"/>
      <c r="F610" s="97">
        <v>15</v>
      </c>
      <c r="G610" s="209">
        <v>25.44951</v>
      </c>
      <c r="H610" s="147"/>
    </row>
    <row r="611" spans="1:8" x14ac:dyDescent="0.25">
      <c r="A611" s="105" t="s">
        <v>785</v>
      </c>
      <c r="B611" s="94" t="s">
        <v>690</v>
      </c>
      <c r="C611" s="95">
        <v>2022</v>
      </c>
      <c r="D611" s="96">
        <v>0.4</v>
      </c>
      <c r="E611" s="96"/>
      <c r="F611" s="97">
        <v>10</v>
      </c>
      <c r="G611" s="209">
        <v>25.16667</v>
      </c>
      <c r="H611" s="147"/>
    </row>
    <row r="612" spans="1:8" x14ac:dyDescent="0.25">
      <c r="A612" s="105" t="s">
        <v>785</v>
      </c>
      <c r="B612" s="94" t="s">
        <v>691</v>
      </c>
      <c r="C612" s="95">
        <v>2022</v>
      </c>
      <c r="D612" s="96">
        <v>0.4</v>
      </c>
      <c r="E612" s="96"/>
      <c r="F612" s="97">
        <v>15</v>
      </c>
      <c r="G612" s="209">
        <v>25.422849999999997</v>
      </c>
      <c r="H612" s="147"/>
    </row>
    <row r="613" spans="1:8" x14ac:dyDescent="0.25">
      <c r="A613" s="105" t="s">
        <v>785</v>
      </c>
      <c r="B613" s="94" t="s">
        <v>66</v>
      </c>
      <c r="C613" s="95">
        <v>2022</v>
      </c>
      <c r="D613" s="96">
        <v>0.4</v>
      </c>
      <c r="E613" s="96"/>
      <c r="F613" s="97">
        <v>15</v>
      </c>
      <c r="G613" s="209">
        <v>27.188980000000001</v>
      </c>
      <c r="H613" s="147"/>
    </row>
    <row r="614" spans="1:8" x14ac:dyDescent="0.25">
      <c r="A614" s="105" t="s">
        <v>785</v>
      </c>
      <c r="B614" s="94" t="s">
        <v>65</v>
      </c>
      <c r="C614" s="95">
        <v>2022</v>
      </c>
      <c r="D614" s="96">
        <v>0.4</v>
      </c>
      <c r="E614" s="96"/>
      <c r="F614" s="97">
        <v>15</v>
      </c>
      <c r="G614" s="209">
        <v>27.326490000000003</v>
      </c>
      <c r="H614" s="147"/>
    </row>
    <row r="615" spans="1:8" x14ac:dyDescent="0.25">
      <c r="A615" s="105" t="s">
        <v>785</v>
      </c>
      <c r="B615" s="94" t="s">
        <v>692</v>
      </c>
      <c r="C615" s="95">
        <v>2022</v>
      </c>
      <c r="D615" s="96">
        <v>0.4</v>
      </c>
      <c r="E615" s="96"/>
      <c r="F615" s="97">
        <v>15</v>
      </c>
      <c r="G615" s="209">
        <v>28.647389999999998</v>
      </c>
      <c r="H615" s="147"/>
    </row>
    <row r="616" spans="1:8" x14ac:dyDescent="0.25">
      <c r="A616" s="105" t="s">
        <v>785</v>
      </c>
      <c r="B616" s="94" t="s">
        <v>64</v>
      </c>
      <c r="C616" s="95">
        <v>2022</v>
      </c>
      <c r="D616" s="96">
        <v>0.4</v>
      </c>
      <c r="E616" s="96"/>
      <c r="F616" s="97">
        <v>15</v>
      </c>
      <c r="G616" s="209">
        <v>25.513330000000003</v>
      </c>
      <c r="H616" s="147"/>
    </row>
    <row r="617" spans="1:8" x14ac:dyDescent="0.25">
      <c r="A617" s="105" t="s">
        <v>784</v>
      </c>
      <c r="B617" s="94" t="s">
        <v>63</v>
      </c>
      <c r="C617" s="95">
        <v>2022</v>
      </c>
      <c r="D617" s="96">
        <v>0.4</v>
      </c>
      <c r="E617" s="96"/>
      <c r="F617" s="97">
        <v>5</v>
      </c>
      <c r="G617" s="202">
        <v>10.722049999999999</v>
      </c>
      <c r="H617" s="147"/>
    </row>
    <row r="618" spans="1:8" x14ac:dyDescent="0.25">
      <c r="A618" s="105" t="s">
        <v>785</v>
      </c>
      <c r="B618" s="94" t="s">
        <v>62</v>
      </c>
      <c r="C618" s="95">
        <v>2022</v>
      </c>
      <c r="D618" s="96">
        <v>0.4</v>
      </c>
      <c r="E618" s="96"/>
      <c r="F618" s="97">
        <v>15</v>
      </c>
      <c r="G618" s="209">
        <v>25.28098</v>
      </c>
      <c r="H618" s="147"/>
    </row>
    <row r="619" spans="1:8" x14ac:dyDescent="0.25">
      <c r="A619" s="105" t="s">
        <v>784</v>
      </c>
      <c r="B619" s="94" t="s">
        <v>693</v>
      </c>
      <c r="C619" s="95">
        <v>2022</v>
      </c>
      <c r="D619" s="96">
        <v>0.4</v>
      </c>
      <c r="E619" s="96"/>
      <c r="F619" s="97">
        <v>5</v>
      </c>
      <c r="G619" s="202">
        <v>12.8065</v>
      </c>
      <c r="H619" s="147"/>
    </row>
    <row r="620" spans="1:8" x14ac:dyDescent="0.25">
      <c r="A620" s="105" t="s">
        <v>785</v>
      </c>
      <c r="B620" s="94" t="s">
        <v>61</v>
      </c>
      <c r="C620" s="95">
        <v>2022</v>
      </c>
      <c r="D620" s="96">
        <v>0.4</v>
      </c>
      <c r="E620" s="96"/>
      <c r="F620" s="97">
        <v>15</v>
      </c>
      <c r="G620" s="209">
        <v>27.542369999999998</v>
      </c>
      <c r="H620" s="147"/>
    </row>
    <row r="621" spans="1:8" x14ac:dyDescent="0.25">
      <c r="A621" s="105" t="s">
        <v>784</v>
      </c>
      <c r="B621" s="94" t="s">
        <v>60</v>
      </c>
      <c r="C621" s="95">
        <v>2022</v>
      </c>
      <c r="D621" s="96">
        <v>0.4</v>
      </c>
      <c r="E621" s="96"/>
      <c r="F621" s="97">
        <v>5</v>
      </c>
      <c r="G621" s="202">
        <v>27.326490000000003</v>
      </c>
      <c r="H621" s="147"/>
    </row>
    <row r="622" spans="1:8" x14ac:dyDescent="0.25">
      <c r="A622" s="105" t="s">
        <v>785</v>
      </c>
      <c r="B622" s="94" t="s">
        <v>60</v>
      </c>
      <c r="C622" s="95">
        <v>2022</v>
      </c>
      <c r="D622" s="96">
        <v>0.4</v>
      </c>
      <c r="E622" s="96"/>
      <c r="F622" s="97">
        <v>15</v>
      </c>
      <c r="G622" s="209">
        <v>25.7912</v>
      </c>
      <c r="H622" s="147"/>
    </row>
    <row r="623" spans="1:8" x14ac:dyDescent="0.25">
      <c r="A623" s="105" t="s">
        <v>784</v>
      </c>
      <c r="B623" s="94" t="s">
        <v>59</v>
      </c>
      <c r="C623" s="95">
        <v>2022</v>
      </c>
      <c r="D623" s="96">
        <v>0.4</v>
      </c>
      <c r="E623" s="96"/>
      <c r="F623" s="97">
        <v>5</v>
      </c>
      <c r="G623" s="202">
        <v>13.154860000000001</v>
      </c>
      <c r="H623" s="147"/>
    </row>
    <row r="624" spans="1:8" x14ac:dyDescent="0.25">
      <c r="A624" s="105" t="s">
        <v>784</v>
      </c>
      <c r="B624" s="94" t="s">
        <v>394</v>
      </c>
      <c r="C624" s="95">
        <v>2022</v>
      </c>
      <c r="D624" s="96">
        <v>0.4</v>
      </c>
      <c r="E624" s="96"/>
      <c r="F624" s="97">
        <v>5</v>
      </c>
      <c r="G624" s="202">
        <v>13.386799999999999</v>
      </c>
      <c r="H624" s="147"/>
    </row>
    <row r="625" spans="1:8" x14ac:dyDescent="0.25">
      <c r="A625" s="105" t="s">
        <v>785</v>
      </c>
      <c r="B625" s="94" t="s">
        <v>58</v>
      </c>
      <c r="C625" s="95">
        <v>2022</v>
      </c>
      <c r="D625" s="96">
        <v>0.4</v>
      </c>
      <c r="E625" s="96"/>
      <c r="F625" s="97">
        <v>15</v>
      </c>
      <c r="G625" s="209">
        <v>25.422840000000001</v>
      </c>
      <c r="H625" s="147"/>
    </row>
    <row r="626" spans="1:8" x14ac:dyDescent="0.25">
      <c r="A626" s="105" t="s">
        <v>785</v>
      </c>
      <c r="B626" s="94" t="s">
        <v>57</v>
      </c>
      <c r="C626" s="95">
        <v>2022</v>
      </c>
      <c r="D626" s="96">
        <v>0.4</v>
      </c>
      <c r="E626" s="96"/>
      <c r="F626" s="97">
        <v>15</v>
      </c>
      <c r="G626" s="209">
        <v>27.926179999999999</v>
      </c>
      <c r="H626" s="147"/>
    </row>
    <row r="627" spans="1:8" x14ac:dyDescent="0.25">
      <c r="A627" s="105" t="s">
        <v>785</v>
      </c>
      <c r="B627" s="94" t="s">
        <v>115</v>
      </c>
      <c r="C627" s="95">
        <v>2022</v>
      </c>
      <c r="D627" s="96">
        <v>0.4</v>
      </c>
      <c r="E627" s="96"/>
      <c r="F627" s="97">
        <v>15</v>
      </c>
      <c r="G627" s="209">
        <v>25.602509999999999</v>
      </c>
      <c r="H627" s="147"/>
    </row>
    <row r="628" spans="1:8" x14ac:dyDescent="0.25">
      <c r="A628" s="105" t="s">
        <v>785</v>
      </c>
      <c r="B628" s="94" t="s">
        <v>56</v>
      </c>
      <c r="C628" s="95">
        <v>2022</v>
      </c>
      <c r="D628" s="96">
        <v>0.4</v>
      </c>
      <c r="E628" s="96"/>
      <c r="F628" s="97">
        <v>15</v>
      </c>
      <c r="G628" s="209">
        <v>46.479669999999999</v>
      </c>
      <c r="H628" s="147"/>
    </row>
    <row r="629" spans="1:8" x14ac:dyDescent="0.25">
      <c r="A629" s="105" t="s">
        <v>785</v>
      </c>
      <c r="B629" s="94" t="s">
        <v>55</v>
      </c>
      <c r="C629" s="95">
        <v>2022</v>
      </c>
      <c r="D629" s="96">
        <v>0.4</v>
      </c>
      <c r="E629" s="96"/>
      <c r="F629" s="97">
        <v>15</v>
      </c>
      <c r="G629" s="209">
        <v>25.489509999999999</v>
      </c>
      <c r="H629" s="147"/>
    </row>
    <row r="630" spans="1:8" x14ac:dyDescent="0.25">
      <c r="A630" s="105" t="s">
        <v>784</v>
      </c>
      <c r="B630" s="94" t="s">
        <v>54</v>
      </c>
      <c r="C630" s="95">
        <v>2022</v>
      </c>
      <c r="D630" s="96">
        <v>0.4</v>
      </c>
      <c r="E630" s="96"/>
      <c r="F630" s="97">
        <v>5</v>
      </c>
      <c r="G630" s="202">
        <v>12.883599999999999</v>
      </c>
      <c r="H630" s="147"/>
    </row>
    <row r="631" spans="1:8" x14ac:dyDescent="0.25">
      <c r="A631" s="105" t="s">
        <v>785</v>
      </c>
      <c r="B631" s="94" t="s">
        <v>53</v>
      </c>
      <c r="C631" s="95">
        <v>2022</v>
      </c>
      <c r="D631" s="96">
        <v>0.4</v>
      </c>
      <c r="E631" s="96"/>
      <c r="F631" s="97">
        <v>15</v>
      </c>
      <c r="G631" s="209">
        <v>25.221810000000001</v>
      </c>
      <c r="H631" s="147"/>
    </row>
    <row r="632" spans="1:8" x14ac:dyDescent="0.25">
      <c r="A632" s="105" t="s">
        <v>785</v>
      </c>
      <c r="B632" s="94" t="s">
        <v>694</v>
      </c>
      <c r="C632" s="95">
        <v>2022</v>
      </c>
      <c r="D632" s="96">
        <v>0.4</v>
      </c>
      <c r="E632" s="96"/>
      <c r="F632" s="97">
        <v>15</v>
      </c>
      <c r="G632" s="209">
        <v>25.397849999999998</v>
      </c>
      <c r="H632" s="147"/>
    </row>
    <row r="633" spans="1:8" x14ac:dyDescent="0.25">
      <c r="A633" s="105" t="s">
        <v>785</v>
      </c>
      <c r="B633" s="94" t="s">
        <v>695</v>
      </c>
      <c r="C633" s="95">
        <v>2022</v>
      </c>
      <c r="D633" s="96">
        <v>0.4</v>
      </c>
      <c r="E633" s="96"/>
      <c r="F633" s="97">
        <v>15</v>
      </c>
      <c r="G633" s="209">
        <v>25.313549999999999</v>
      </c>
      <c r="H633" s="147"/>
    </row>
    <row r="634" spans="1:8" x14ac:dyDescent="0.25">
      <c r="A634" s="105" t="s">
        <v>785</v>
      </c>
      <c r="B634" s="94" t="s">
        <v>52</v>
      </c>
      <c r="C634" s="95">
        <v>2022</v>
      </c>
      <c r="D634" s="96">
        <v>0.4</v>
      </c>
      <c r="E634" s="96"/>
      <c r="F634" s="97">
        <v>15</v>
      </c>
      <c r="G634" s="209">
        <v>26.65014</v>
      </c>
      <c r="H634" s="147"/>
    </row>
    <row r="635" spans="1:8" x14ac:dyDescent="0.25">
      <c r="A635" s="105" t="s">
        <v>785</v>
      </c>
      <c r="B635" s="94" t="s">
        <v>696</v>
      </c>
      <c r="C635" s="95">
        <v>2022</v>
      </c>
      <c r="D635" s="96">
        <v>0.4</v>
      </c>
      <c r="E635" s="96"/>
      <c r="F635" s="97">
        <v>15</v>
      </c>
      <c r="G635" s="209">
        <v>14.702780000000001</v>
      </c>
      <c r="H635" s="147"/>
    </row>
    <row r="636" spans="1:8" x14ac:dyDescent="0.25">
      <c r="A636" s="105" t="s">
        <v>785</v>
      </c>
      <c r="B636" s="94" t="s">
        <v>690</v>
      </c>
      <c r="C636" s="95">
        <v>2022</v>
      </c>
      <c r="D636" s="96">
        <v>0.4</v>
      </c>
      <c r="E636" s="96"/>
      <c r="F636" s="97">
        <v>10</v>
      </c>
      <c r="G636" s="209">
        <v>25.029160000000001</v>
      </c>
      <c r="H636" s="147"/>
    </row>
    <row r="637" spans="1:8" x14ac:dyDescent="0.25">
      <c r="A637" s="105" t="s">
        <v>785</v>
      </c>
      <c r="B637" s="94" t="s">
        <v>51</v>
      </c>
      <c r="C637" s="95">
        <v>2022</v>
      </c>
      <c r="D637" s="96">
        <v>0.4</v>
      </c>
      <c r="E637" s="96"/>
      <c r="F637" s="97">
        <v>15</v>
      </c>
      <c r="G637" s="209">
        <v>25.818349999999999</v>
      </c>
      <c r="H637" s="147"/>
    </row>
    <row r="638" spans="1:8" x14ac:dyDescent="0.25">
      <c r="A638" s="105" t="s">
        <v>784</v>
      </c>
      <c r="B638" s="94" t="s">
        <v>50</v>
      </c>
      <c r="C638" s="95">
        <v>2022</v>
      </c>
      <c r="D638" s="96">
        <v>0.4</v>
      </c>
      <c r="E638" s="96"/>
      <c r="F638" s="97">
        <v>5</v>
      </c>
      <c r="G638" s="202">
        <v>15.82634</v>
      </c>
      <c r="H638" s="147"/>
    </row>
    <row r="639" spans="1:8" x14ac:dyDescent="0.25">
      <c r="A639" s="105" t="s">
        <v>785</v>
      </c>
      <c r="B639" s="94" t="s">
        <v>49</v>
      </c>
      <c r="C639" s="95">
        <v>2022</v>
      </c>
      <c r="D639" s="96">
        <v>0.4</v>
      </c>
      <c r="E639" s="96"/>
      <c r="F639" s="97">
        <v>15</v>
      </c>
      <c r="G639" s="209">
        <v>27.32648</v>
      </c>
      <c r="H639" s="147"/>
    </row>
    <row r="640" spans="1:8" x14ac:dyDescent="0.25">
      <c r="A640" s="105" t="s">
        <v>785</v>
      </c>
      <c r="B640" s="94" t="s">
        <v>572</v>
      </c>
      <c r="C640" s="95">
        <v>2022</v>
      </c>
      <c r="D640" s="96">
        <v>0.4</v>
      </c>
      <c r="E640" s="96"/>
      <c r="F640" s="97">
        <v>15</v>
      </c>
      <c r="G640" s="209">
        <v>25.50385</v>
      </c>
      <c r="H640" s="147"/>
    </row>
    <row r="641" spans="1:8" x14ac:dyDescent="0.25">
      <c r="A641" s="105" t="s">
        <v>785</v>
      </c>
      <c r="B641" s="94" t="s">
        <v>48</v>
      </c>
      <c r="C641" s="95">
        <v>2022</v>
      </c>
      <c r="D641" s="96">
        <v>0.4</v>
      </c>
      <c r="E641" s="96"/>
      <c r="F641" s="97">
        <v>15</v>
      </c>
      <c r="G641" s="209">
        <v>25.503820000000001</v>
      </c>
      <c r="H641" s="147"/>
    </row>
    <row r="642" spans="1:8" x14ac:dyDescent="0.25">
      <c r="A642" s="105" t="s">
        <v>784</v>
      </c>
      <c r="B642" s="94" t="s">
        <v>47</v>
      </c>
      <c r="C642" s="95">
        <v>2022</v>
      </c>
      <c r="D642" s="96">
        <v>0.4</v>
      </c>
      <c r="E642" s="96"/>
      <c r="F642" s="97">
        <v>5</v>
      </c>
      <c r="G642" s="202">
        <v>15.82385</v>
      </c>
      <c r="H642" s="147"/>
    </row>
    <row r="643" spans="1:8" x14ac:dyDescent="0.25">
      <c r="A643" s="105" t="s">
        <v>785</v>
      </c>
      <c r="B643" s="94" t="s">
        <v>46</v>
      </c>
      <c r="C643" s="95">
        <v>2022</v>
      </c>
      <c r="D643" s="96">
        <v>0.4</v>
      </c>
      <c r="E643" s="96"/>
      <c r="F643" s="97">
        <v>15</v>
      </c>
      <c r="G643" s="209">
        <v>25.337630000000001</v>
      </c>
      <c r="H643" s="147"/>
    </row>
    <row r="644" spans="1:8" x14ac:dyDescent="0.25">
      <c r="A644" s="105" t="s">
        <v>785</v>
      </c>
      <c r="B644" s="94" t="s">
        <v>46</v>
      </c>
      <c r="C644" s="95">
        <v>2022</v>
      </c>
      <c r="D644" s="96">
        <v>0.4</v>
      </c>
      <c r="E644" s="96"/>
      <c r="F644" s="97">
        <v>15</v>
      </c>
      <c r="G644" s="209">
        <v>25.33765</v>
      </c>
      <c r="H644" s="147"/>
    </row>
    <row r="645" spans="1:8" x14ac:dyDescent="0.25">
      <c r="A645" s="105" t="s">
        <v>785</v>
      </c>
      <c r="B645" s="94" t="s">
        <v>45</v>
      </c>
      <c r="C645" s="95">
        <v>2022</v>
      </c>
      <c r="D645" s="96">
        <v>0.4</v>
      </c>
      <c r="E645" s="96"/>
      <c r="F645" s="97">
        <v>15</v>
      </c>
      <c r="G645" s="209">
        <v>25.377839999999999</v>
      </c>
      <c r="H645" s="147"/>
    </row>
    <row r="646" spans="1:8" x14ac:dyDescent="0.25">
      <c r="A646" s="105" t="s">
        <v>785</v>
      </c>
      <c r="B646" s="94" t="s">
        <v>697</v>
      </c>
      <c r="C646" s="95">
        <v>2022</v>
      </c>
      <c r="D646" s="96">
        <v>0.4</v>
      </c>
      <c r="E646" s="96"/>
      <c r="F646" s="97">
        <v>15</v>
      </c>
      <c r="G646" s="209">
        <v>28.080500000000001</v>
      </c>
      <c r="H646" s="147"/>
    </row>
    <row r="647" spans="1:8" x14ac:dyDescent="0.25">
      <c r="A647" s="105" t="s">
        <v>784</v>
      </c>
      <c r="B647" s="94" t="s">
        <v>44</v>
      </c>
      <c r="C647" s="95">
        <v>2022</v>
      </c>
      <c r="D647" s="96">
        <v>0.4</v>
      </c>
      <c r="E647" s="96"/>
      <c r="F647" s="97">
        <v>5</v>
      </c>
      <c r="G647" s="202">
        <v>13.210120000000002</v>
      </c>
      <c r="H647" s="147"/>
    </row>
    <row r="648" spans="1:8" x14ac:dyDescent="0.25">
      <c r="A648" s="105" t="s">
        <v>784</v>
      </c>
      <c r="B648" s="94" t="s">
        <v>43</v>
      </c>
      <c r="C648" s="95">
        <v>2022</v>
      </c>
      <c r="D648" s="96">
        <v>0.4</v>
      </c>
      <c r="E648" s="96"/>
      <c r="F648" s="97">
        <v>5</v>
      </c>
      <c r="G648" s="202">
        <v>12.774430000000001</v>
      </c>
      <c r="H648" s="147"/>
    </row>
    <row r="649" spans="1:8" x14ac:dyDescent="0.25">
      <c r="A649" s="105" t="s">
        <v>784</v>
      </c>
      <c r="B649" s="94" t="s">
        <v>42</v>
      </c>
      <c r="C649" s="95">
        <v>2022</v>
      </c>
      <c r="D649" s="96">
        <v>0.4</v>
      </c>
      <c r="E649" s="96"/>
      <c r="F649" s="97">
        <v>5</v>
      </c>
      <c r="G649" s="202">
        <v>27.432770000000001</v>
      </c>
      <c r="H649" s="147"/>
    </row>
    <row r="650" spans="1:8" x14ac:dyDescent="0.25">
      <c r="A650" s="105" t="s">
        <v>785</v>
      </c>
      <c r="B650" s="94" t="s">
        <v>41</v>
      </c>
      <c r="C650" s="95">
        <v>2022</v>
      </c>
      <c r="D650" s="96">
        <v>0.4</v>
      </c>
      <c r="E650" s="96"/>
      <c r="F650" s="97">
        <v>15</v>
      </c>
      <c r="G650" s="209">
        <v>28.004669999999997</v>
      </c>
      <c r="H650" s="147"/>
    </row>
    <row r="651" spans="1:8" x14ac:dyDescent="0.25">
      <c r="A651" s="105" t="s">
        <v>785</v>
      </c>
      <c r="B651" s="94" t="s">
        <v>698</v>
      </c>
      <c r="C651" s="95">
        <v>2022</v>
      </c>
      <c r="D651" s="96">
        <v>0.4</v>
      </c>
      <c r="E651" s="96"/>
      <c r="F651" s="97">
        <v>15</v>
      </c>
      <c r="G651" s="209">
        <v>25.432849999999998</v>
      </c>
      <c r="H651" s="147"/>
    </row>
    <row r="652" spans="1:8" x14ac:dyDescent="0.25">
      <c r="A652" s="105" t="s">
        <v>785</v>
      </c>
      <c r="B652" s="94" t="s">
        <v>699</v>
      </c>
      <c r="C652" s="95">
        <v>2022</v>
      </c>
      <c r="D652" s="96">
        <v>0.4</v>
      </c>
      <c r="E652" s="96"/>
      <c r="F652" s="97">
        <v>15</v>
      </c>
      <c r="G652" s="209">
        <v>25.791180000000001</v>
      </c>
      <c r="H652" s="147"/>
    </row>
    <row r="653" spans="1:8" x14ac:dyDescent="0.25">
      <c r="A653" s="105" t="s">
        <v>785</v>
      </c>
      <c r="B653" s="94" t="s">
        <v>40</v>
      </c>
      <c r="C653" s="95">
        <v>2022</v>
      </c>
      <c r="D653" s="96">
        <v>0.4</v>
      </c>
      <c r="E653" s="96"/>
      <c r="F653" s="97">
        <v>15</v>
      </c>
      <c r="G653" s="209">
        <v>25.705380000000002</v>
      </c>
      <c r="H653" s="147"/>
    </row>
    <row r="654" spans="1:8" x14ac:dyDescent="0.25">
      <c r="A654" s="105" t="s">
        <v>785</v>
      </c>
      <c r="B654" s="94" t="s">
        <v>39</v>
      </c>
      <c r="C654" s="95">
        <v>2022</v>
      </c>
      <c r="D654" s="96">
        <v>0.4</v>
      </c>
      <c r="E654" s="96"/>
      <c r="F654" s="97">
        <v>15</v>
      </c>
      <c r="G654" s="209">
        <v>20.082319999999999</v>
      </c>
      <c r="H654" s="147"/>
    </row>
    <row r="655" spans="1:8" x14ac:dyDescent="0.25">
      <c r="A655" s="105" t="s">
        <v>785</v>
      </c>
      <c r="B655" s="94" t="s">
        <v>38</v>
      </c>
      <c r="C655" s="95">
        <v>2022</v>
      </c>
      <c r="D655" s="96">
        <v>0.4</v>
      </c>
      <c r="E655" s="96"/>
      <c r="F655" s="97">
        <v>15</v>
      </c>
      <c r="G655" s="209">
        <v>25.449310000000001</v>
      </c>
      <c r="H655" s="147"/>
    </row>
    <row r="656" spans="1:8" x14ac:dyDescent="0.25">
      <c r="A656" s="105" t="s">
        <v>785</v>
      </c>
      <c r="B656" s="94" t="s">
        <v>37</v>
      </c>
      <c r="C656" s="95">
        <v>2022</v>
      </c>
      <c r="D656" s="96">
        <v>0.4</v>
      </c>
      <c r="E656" s="96"/>
      <c r="F656" s="97">
        <v>15</v>
      </c>
      <c r="G656" s="209">
        <v>25.621189999999999</v>
      </c>
      <c r="H656" s="147"/>
    </row>
    <row r="657" spans="1:8" x14ac:dyDescent="0.25">
      <c r="A657" s="105" t="s">
        <v>785</v>
      </c>
      <c r="B657" s="94" t="s">
        <v>36</v>
      </c>
      <c r="C657" s="95">
        <v>2022</v>
      </c>
      <c r="D657" s="96">
        <v>0.4</v>
      </c>
      <c r="E657" s="96"/>
      <c r="F657" s="97">
        <v>15</v>
      </c>
      <c r="G657" s="209">
        <v>25.377839999999999</v>
      </c>
      <c r="H657" s="147"/>
    </row>
    <row r="658" spans="1:8" x14ac:dyDescent="0.25">
      <c r="A658" s="105" t="s">
        <v>784</v>
      </c>
      <c r="B658" s="94" t="s">
        <v>700</v>
      </c>
      <c r="C658" s="95">
        <v>2022</v>
      </c>
      <c r="D658" s="96">
        <v>0.4</v>
      </c>
      <c r="E658" s="96"/>
      <c r="F658" s="97">
        <v>5</v>
      </c>
      <c r="G658" s="202">
        <v>13.230259999999999</v>
      </c>
      <c r="H658" s="147"/>
    </row>
    <row r="659" spans="1:8" x14ac:dyDescent="0.25">
      <c r="A659" s="105" t="s">
        <v>785</v>
      </c>
      <c r="B659" s="94" t="s">
        <v>35</v>
      </c>
      <c r="C659" s="95">
        <v>2022</v>
      </c>
      <c r="D659" s="96">
        <v>0.4</v>
      </c>
      <c r="E659" s="96"/>
      <c r="F659" s="97">
        <v>15</v>
      </c>
      <c r="G659" s="209">
        <v>25.599630000000001</v>
      </c>
      <c r="H659" s="147"/>
    </row>
    <row r="660" spans="1:8" x14ac:dyDescent="0.25">
      <c r="A660" s="105" t="s">
        <v>785</v>
      </c>
      <c r="B660" s="94" t="s">
        <v>34</v>
      </c>
      <c r="C660" s="95">
        <v>2022</v>
      </c>
      <c r="D660" s="96">
        <v>0.4</v>
      </c>
      <c r="E660" s="96"/>
      <c r="F660" s="97">
        <v>15</v>
      </c>
      <c r="G660" s="209">
        <v>46.501300000000001</v>
      </c>
      <c r="H660" s="147"/>
    </row>
    <row r="661" spans="1:8" x14ac:dyDescent="0.25">
      <c r="A661" s="105" t="s">
        <v>785</v>
      </c>
      <c r="B661" s="94" t="s">
        <v>33</v>
      </c>
      <c r="C661" s="95">
        <v>2022</v>
      </c>
      <c r="D661" s="96">
        <v>0.4</v>
      </c>
      <c r="E661" s="96"/>
      <c r="F661" s="97">
        <v>15</v>
      </c>
      <c r="G661" s="209">
        <v>25.294160000000002</v>
      </c>
      <c r="H661" s="147"/>
    </row>
    <row r="662" spans="1:8" x14ac:dyDescent="0.25">
      <c r="A662" s="105" t="s">
        <v>784</v>
      </c>
      <c r="B662" s="94" t="s">
        <v>701</v>
      </c>
      <c r="C662" s="95">
        <v>2022</v>
      </c>
      <c r="D662" s="96">
        <v>0.4</v>
      </c>
      <c r="E662" s="96"/>
      <c r="F662" s="97">
        <v>5</v>
      </c>
      <c r="G662" s="202">
        <v>13.10492</v>
      </c>
      <c r="H662" s="147"/>
    </row>
    <row r="663" spans="1:8" x14ac:dyDescent="0.25">
      <c r="A663" s="105" t="s">
        <v>785</v>
      </c>
      <c r="B663" s="94" t="s">
        <v>569</v>
      </c>
      <c r="C663" s="95">
        <v>2022</v>
      </c>
      <c r="D663" s="96">
        <v>0.4</v>
      </c>
      <c r="E663" s="96"/>
      <c r="F663" s="97">
        <v>15</v>
      </c>
      <c r="G663" s="209">
        <v>46.292970000000004</v>
      </c>
      <c r="H663" s="147"/>
    </row>
    <row r="664" spans="1:8" x14ac:dyDescent="0.25">
      <c r="A664" s="105" t="s">
        <v>785</v>
      </c>
      <c r="B664" s="94" t="s">
        <v>32</v>
      </c>
      <c r="C664" s="95">
        <v>2022</v>
      </c>
      <c r="D664" s="96">
        <v>0.4</v>
      </c>
      <c r="E664" s="96"/>
      <c r="F664" s="97">
        <v>15</v>
      </c>
      <c r="G664" s="209">
        <v>25.11084</v>
      </c>
      <c r="H664" s="147"/>
    </row>
    <row r="665" spans="1:8" x14ac:dyDescent="0.25">
      <c r="A665" s="105" t="s">
        <v>785</v>
      </c>
      <c r="B665" s="94" t="s">
        <v>31</v>
      </c>
      <c r="C665" s="95">
        <v>2022</v>
      </c>
      <c r="D665" s="96">
        <v>0.4</v>
      </c>
      <c r="E665" s="96"/>
      <c r="F665" s="97">
        <v>15</v>
      </c>
      <c r="G665" s="209">
        <v>25.602509999999999</v>
      </c>
      <c r="H665" s="147"/>
    </row>
    <row r="666" spans="1:8" x14ac:dyDescent="0.25">
      <c r="A666" s="105" t="s">
        <v>785</v>
      </c>
      <c r="B666" s="94" t="s">
        <v>30</v>
      </c>
      <c r="C666" s="95">
        <v>2022</v>
      </c>
      <c r="D666" s="96">
        <v>0.4</v>
      </c>
      <c r="E666" s="96"/>
      <c r="F666" s="97">
        <v>15</v>
      </c>
      <c r="G666" s="209">
        <v>25.384520000000002</v>
      </c>
      <c r="H666" s="147"/>
    </row>
    <row r="667" spans="1:8" x14ac:dyDescent="0.25">
      <c r="A667" s="105" t="s">
        <v>785</v>
      </c>
      <c r="B667" s="94" t="s">
        <v>29</v>
      </c>
      <c r="C667" s="95">
        <v>2022</v>
      </c>
      <c r="D667" s="96">
        <v>0.4</v>
      </c>
      <c r="E667" s="96"/>
      <c r="F667" s="97">
        <v>15</v>
      </c>
      <c r="G667" s="209">
        <v>10.72207</v>
      </c>
      <c r="H667" s="147"/>
    </row>
    <row r="668" spans="1:8" x14ac:dyDescent="0.25">
      <c r="A668" s="105" t="s">
        <v>785</v>
      </c>
      <c r="B668" s="94" t="s">
        <v>702</v>
      </c>
      <c r="C668" s="95">
        <v>2022</v>
      </c>
      <c r="D668" s="96">
        <v>0.4</v>
      </c>
      <c r="E668" s="96"/>
      <c r="F668" s="97">
        <v>15</v>
      </c>
      <c r="G668" s="209">
        <v>29.455929999999999</v>
      </c>
      <c r="H668" s="147"/>
    </row>
    <row r="669" spans="1:8" x14ac:dyDescent="0.25">
      <c r="A669" s="105" t="s">
        <v>785</v>
      </c>
      <c r="B669" s="94" t="s">
        <v>702</v>
      </c>
      <c r="C669" s="95">
        <v>2022</v>
      </c>
      <c r="D669" s="96">
        <v>0.4</v>
      </c>
      <c r="E669" s="96"/>
      <c r="F669" s="97">
        <v>15</v>
      </c>
      <c r="G669" s="209">
        <v>28.872199999999999</v>
      </c>
      <c r="H669" s="147"/>
    </row>
    <row r="670" spans="1:8" x14ac:dyDescent="0.25">
      <c r="A670" s="105" t="s">
        <v>785</v>
      </c>
      <c r="B670" s="94" t="s">
        <v>28</v>
      </c>
      <c r="C670" s="95">
        <v>2022</v>
      </c>
      <c r="D670" s="96">
        <v>0.4</v>
      </c>
      <c r="E670" s="96"/>
      <c r="F670" s="97">
        <v>15</v>
      </c>
      <c r="G670" s="209">
        <v>25.602499999999999</v>
      </c>
      <c r="H670" s="147"/>
    </row>
    <row r="671" spans="1:8" x14ac:dyDescent="0.25">
      <c r="A671" s="105" t="s">
        <v>784</v>
      </c>
      <c r="B671" s="94" t="s">
        <v>27</v>
      </c>
      <c r="C671" s="95">
        <v>2022</v>
      </c>
      <c r="D671" s="96">
        <v>0.4</v>
      </c>
      <c r="E671" s="96"/>
      <c r="F671" s="97">
        <v>5</v>
      </c>
      <c r="G671" s="202">
        <v>12.805260000000001</v>
      </c>
      <c r="H671" s="147"/>
    </row>
    <row r="672" spans="1:8" x14ac:dyDescent="0.25">
      <c r="A672" s="105" t="s">
        <v>784</v>
      </c>
      <c r="B672" s="94" t="s">
        <v>26</v>
      </c>
      <c r="C672" s="95">
        <v>2022</v>
      </c>
      <c r="D672" s="96">
        <v>0.4</v>
      </c>
      <c r="E672" s="96"/>
      <c r="F672" s="97">
        <v>5</v>
      </c>
      <c r="G672" s="202">
        <v>25.432839999999999</v>
      </c>
      <c r="H672" s="147"/>
    </row>
    <row r="673" spans="1:8" x14ac:dyDescent="0.25">
      <c r="A673" s="105" t="s">
        <v>785</v>
      </c>
      <c r="B673" s="94" t="s">
        <v>25</v>
      </c>
      <c r="C673" s="95">
        <v>2022</v>
      </c>
      <c r="D673" s="96">
        <v>0.4</v>
      </c>
      <c r="E673" s="96"/>
      <c r="F673" s="97">
        <v>15</v>
      </c>
      <c r="G673" s="209">
        <v>29.056990000000003</v>
      </c>
      <c r="H673" s="147"/>
    </row>
    <row r="674" spans="1:8" x14ac:dyDescent="0.25">
      <c r="A674" s="105" t="s">
        <v>785</v>
      </c>
      <c r="B674" s="94" t="s">
        <v>24</v>
      </c>
      <c r="C674" s="95">
        <v>2022</v>
      </c>
      <c r="D674" s="96">
        <v>0.4</v>
      </c>
      <c r="E674" s="96"/>
      <c r="F674" s="97">
        <v>15</v>
      </c>
      <c r="G674" s="209">
        <v>25.50431</v>
      </c>
      <c r="H674" s="147"/>
    </row>
    <row r="675" spans="1:8" x14ac:dyDescent="0.25">
      <c r="A675" s="105" t="s">
        <v>785</v>
      </c>
      <c r="B675" s="94" t="s">
        <v>23</v>
      </c>
      <c r="C675" s="95">
        <v>2022</v>
      </c>
      <c r="D675" s="96">
        <v>0.4</v>
      </c>
      <c r="E675" s="96"/>
      <c r="F675" s="97">
        <v>15</v>
      </c>
      <c r="G675" s="209">
        <v>26.10548</v>
      </c>
      <c r="H675" s="147"/>
    </row>
    <row r="676" spans="1:8" x14ac:dyDescent="0.25">
      <c r="A676" s="105" t="s">
        <v>784</v>
      </c>
      <c r="B676" s="94" t="s">
        <v>63</v>
      </c>
      <c r="C676" s="95">
        <v>2022</v>
      </c>
      <c r="D676" s="96">
        <v>0.4</v>
      </c>
      <c r="E676" s="96"/>
      <c r="F676" s="97">
        <v>5</v>
      </c>
      <c r="G676" s="202">
        <v>13.15236</v>
      </c>
      <c r="H676" s="147"/>
    </row>
    <row r="677" spans="1:8" x14ac:dyDescent="0.25">
      <c r="A677" s="105" t="s">
        <v>785</v>
      </c>
      <c r="B677" s="94" t="s">
        <v>22</v>
      </c>
      <c r="C677" s="95">
        <v>2022</v>
      </c>
      <c r="D677" s="96">
        <v>0.4</v>
      </c>
      <c r="E677" s="96"/>
      <c r="F677" s="97">
        <v>15</v>
      </c>
      <c r="G677" s="209">
        <v>25.431660000000001</v>
      </c>
      <c r="H677" s="147"/>
    </row>
    <row r="678" spans="1:8" x14ac:dyDescent="0.25">
      <c r="A678" s="105" t="s">
        <v>785</v>
      </c>
      <c r="B678" s="94" t="s">
        <v>21</v>
      </c>
      <c r="C678" s="95">
        <v>2022</v>
      </c>
      <c r="D678" s="96">
        <v>0.4</v>
      </c>
      <c r="E678" s="96"/>
      <c r="F678" s="97">
        <v>15</v>
      </c>
      <c r="G678" s="209">
        <v>25.291810000000002</v>
      </c>
      <c r="H678" s="147"/>
    </row>
    <row r="679" spans="1:8" x14ac:dyDescent="0.25">
      <c r="A679" s="105" t="s">
        <v>785</v>
      </c>
      <c r="B679" s="94" t="s">
        <v>20</v>
      </c>
      <c r="C679" s="95">
        <v>2022</v>
      </c>
      <c r="D679" s="96">
        <v>0.4</v>
      </c>
      <c r="E679" s="96"/>
      <c r="F679" s="97">
        <v>15</v>
      </c>
      <c r="G679" s="209">
        <v>25.422840000000001</v>
      </c>
      <c r="H679" s="147"/>
    </row>
    <row r="680" spans="1:8" x14ac:dyDescent="0.25">
      <c r="A680" s="105" t="s">
        <v>785</v>
      </c>
      <c r="B680" s="94" t="s">
        <v>19</v>
      </c>
      <c r="C680" s="95">
        <v>2022</v>
      </c>
      <c r="D680" s="96">
        <v>0.4</v>
      </c>
      <c r="E680" s="96"/>
      <c r="F680" s="97">
        <v>15</v>
      </c>
      <c r="G680" s="209">
        <v>25.299520000000001</v>
      </c>
      <c r="H680" s="147"/>
    </row>
    <row r="681" spans="1:8" x14ac:dyDescent="0.25">
      <c r="A681" s="105" t="s">
        <v>785</v>
      </c>
      <c r="B681" s="94" t="s">
        <v>18</v>
      </c>
      <c r="C681" s="95">
        <v>2022</v>
      </c>
      <c r="D681" s="96">
        <v>0.4</v>
      </c>
      <c r="E681" s="96"/>
      <c r="F681" s="97">
        <v>15</v>
      </c>
      <c r="G681" s="209">
        <v>25.672840000000001</v>
      </c>
      <c r="H681" s="147"/>
    </row>
    <row r="682" spans="1:8" x14ac:dyDescent="0.25">
      <c r="A682" s="105" t="s">
        <v>785</v>
      </c>
      <c r="B682" s="94" t="s">
        <v>17</v>
      </c>
      <c r="C682" s="95">
        <v>2022</v>
      </c>
      <c r="D682" s="96">
        <v>0.4</v>
      </c>
      <c r="E682" s="96"/>
      <c r="F682" s="97">
        <v>15</v>
      </c>
      <c r="G682" s="209">
        <v>12.679919999999999</v>
      </c>
      <c r="H682" s="147"/>
    </row>
    <row r="683" spans="1:8" x14ac:dyDescent="0.25">
      <c r="A683" s="105" t="s">
        <v>785</v>
      </c>
      <c r="B683" s="94" t="s">
        <v>16</v>
      </c>
      <c r="C683" s="95">
        <v>2022</v>
      </c>
      <c r="D683" s="96">
        <v>0.4</v>
      </c>
      <c r="E683" s="96"/>
      <c r="F683" s="97">
        <v>15</v>
      </c>
      <c r="G683" s="209">
        <v>25.337630000000001</v>
      </c>
      <c r="H683" s="147"/>
    </row>
    <row r="684" spans="1:8" x14ac:dyDescent="0.25">
      <c r="A684" s="105" t="s">
        <v>785</v>
      </c>
      <c r="B684" s="94" t="s">
        <v>15</v>
      </c>
      <c r="C684" s="95">
        <v>2022</v>
      </c>
      <c r="D684" s="96">
        <v>0.4</v>
      </c>
      <c r="E684" s="96"/>
      <c r="F684" s="97">
        <v>15</v>
      </c>
      <c r="G684" s="209">
        <v>28.330349999999999</v>
      </c>
      <c r="H684" s="147"/>
    </row>
    <row r="685" spans="1:8" x14ac:dyDescent="0.25">
      <c r="A685" s="105" t="s">
        <v>784</v>
      </c>
      <c r="B685" s="94" t="s">
        <v>14</v>
      </c>
      <c r="C685" s="95">
        <v>2022</v>
      </c>
      <c r="D685" s="96">
        <v>0.4</v>
      </c>
      <c r="E685" s="96"/>
      <c r="F685" s="97">
        <v>5</v>
      </c>
      <c r="G685" s="202">
        <v>16.497970000000002</v>
      </c>
      <c r="H685" s="147"/>
    </row>
    <row r="686" spans="1:8" x14ac:dyDescent="0.25">
      <c r="A686" s="105" t="s">
        <v>784</v>
      </c>
      <c r="B686" s="94" t="s">
        <v>703</v>
      </c>
      <c r="C686" s="95">
        <v>2022</v>
      </c>
      <c r="D686" s="96">
        <v>0.4</v>
      </c>
      <c r="E686" s="96"/>
      <c r="F686" s="97">
        <v>5</v>
      </c>
      <c r="G686" s="202">
        <v>13.09085</v>
      </c>
      <c r="H686" s="147"/>
    </row>
    <row r="687" spans="1:8" x14ac:dyDescent="0.25">
      <c r="A687" s="105" t="s">
        <v>784</v>
      </c>
      <c r="B687" s="94" t="s">
        <v>703</v>
      </c>
      <c r="C687" s="95">
        <v>2022</v>
      </c>
      <c r="D687" s="96">
        <v>0.4</v>
      </c>
      <c r="E687" s="96"/>
      <c r="F687" s="97">
        <v>5</v>
      </c>
      <c r="G687" s="202">
        <v>13.09085</v>
      </c>
      <c r="H687" s="147"/>
    </row>
    <row r="688" spans="1:8" x14ac:dyDescent="0.25">
      <c r="A688" s="105" t="s">
        <v>785</v>
      </c>
      <c r="B688" s="94" t="s">
        <v>12</v>
      </c>
      <c r="C688" s="95">
        <v>2022</v>
      </c>
      <c r="D688" s="96">
        <v>0.4</v>
      </c>
      <c r="E688" s="96"/>
      <c r="F688" s="97">
        <v>15</v>
      </c>
      <c r="G688" s="209">
        <v>28.174669999999999</v>
      </c>
      <c r="H688" s="147"/>
    </row>
    <row r="689" spans="1:12" x14ac:dyDescent="0.25">
      <c r="A689" s="105" t="s">
        <v>784</v>
      </c>
      <c r="B689" s="94" t="s">
        <v>11</v>
      </c>
      <c r="C689" s="95">
        <v>2022</v>
      </c>
      <c r="D689" s="96">
        <v>0.4</v>
      </c>
      <c r="E689" s="96"/>
      <c r="F689" s="97">
        <v>5</v>
      </c>
      <c r="G689" s="202">
        <v>13.01595</v>
      </c>
      <c r="H689" s="147"/>
    </row>
    <row r="690" spans="1:12" x14ac:dyDescent="0.25">
      <c r="A690" s="105" t="s">
        <v>784</v>
      </c>
      <c r="B690" s="94" t="s">
        <v>689</v>
      </c>
      <c r="C690" s="95">
        <v>2022</v>
      </c>
      <c r="D690" s="96">
        <v>0.4</v>
      </c>
      <c r="E690" s="96"/>
      <c r="F690" s="97">
        <v>5</v>
      </c>
      <c r="G690" s="202">
        <v>13.39841</v>
      </c>
      <c r="H690" s="147"/>
    </row>
    <row r="691" spans="1:12" x14ac:dyDescent="0.25">
      <c r="A691" s="105" t="s">
        <v>784</v>
      </c>
      <c r="B691" s="94" t="s">
        <v>338</v>
      </c>
      <c r="C691" s="95">
        <v>2022</v>
      </c>
      <c r="D691" s="96">
        <v>0.4</v>
      </c>
      <c r="E691" s="96"/>
      <c r="F691" s="97">
        <v>5</v>
      </c>
      <c r="G691" s="202">
        <v>27.507020000000001</v>
      </c>
      <c r="H691" s="147"/>
    </row>
    <row r="692" spans="1:12" x14ac:dyDescent="0.25">
      <c r="A692" s="105" t="s">
        <v>785</v>
      </c>
      <c r="B692" s="94" t="s">
        <v>704</v>
      </c>
      <c r="C692" s="95">
        <v>2022</v>
      </c>
      <c r="D692" s="96">
        <v>0.4</v>
      </c>
      <c r="E692" s="96"/>
      <c r="F692" s="97">
        <v>14</v>
      </c>
      <c r="G692" s="209">
        <v>27.25066</v>
      </c>
      <c r="H692" s="147"/>
    </row>
    <row r="693" spans="1:12" x14ac:dyDescent="0.25">
      <c r="A693" s="105" t="s">
        <v>785</v>
      </c>
      <c r="B693" s="94" t="s">
        <v>395</v>
      </c>
      <c r="C693" s="95">
        <v>2022</v>
      </c>
      <c r="D693" s="96">
        <v>0.4</v>
      </c>
      <c r="E693" s="96"/>
      <c r="F693" s="97">
        <v>15</v>
      </c>
      <c r="G693" s="209">
        <v>8.4575800000000001</v>
      </c>
      <c r="H693" s="147"/>
    </row>
    <row r="694" spans="1:12" x14ac:dyDescent="0.25">
      <c r="A694" s="105" t="s">
        <v>784</v>
      </c>
      <c r="B694" s="94" t="s">
        <v>10</v>
      </c>
      <c r="C694" s="95">
        <v>2022</v>
      </c>
      <c r="D694" s="96">
        <v>0.4</v>
      </c>
      <c r="E694" s="96"/>
      <c r="F694" s="97">
        <v>5</v>
      </c>
      <c r="G694" s="202">
        <v>6.1163500000000006</v>
      </c>
      <c r="H694" s="147"/>
    </row>
    <row r="695" spans="1:12" x14ac:dyDescent="0.25">
      <c r="A695" s="105" t="s">
        <v>785</v>
      </c>
      <c r="B695" s="94" t="s">
        <v>705</v>
      </c>
      <c r="C695" s="95">
        <v>2022</v>
      </c>
      <c r="D695" s="96">
        <v>0.4</v>
      </c>
      <c r="E695" s="96"/>
      <c r="F695" s="97">
        <v>15</v>
      </c>
      <c r="G695" s="209">
        <v>29.260770000000001</v>
      </c>
      <c r="H695" s="147"/>
    </row>
    <row r="696" spans="1:12" x14ac:dyDescent="0.25">
      <c r="A696" s="105" t="s">
        <v>785</v>
      </c>
      <c r="B696" s="94" t="s">
        <v>706</v>
      </c>
      <c r="C696" s="95">
        <v>2022</v>
      </c>
      <c r="D696" s="96">
        <v>0.4</v>
      </c>
      <c r="E696" s="96"/>
      <c r="F696" s="97">
        <v>15</v>
      </c>
      <c r="G696" s="209">
        <v>11.18492</v>
      </c>
      <c r="H696" s="147"/>
    </row>
    <row r="697" spans="1:12" x14ac:dyDescent="0.25">
      <c r="A697" s="105" t="s">
        <v>785</v>
      </c>
      <c r="B697" s="94" t="s">
        <v>8</v>
      </c>
      <c r="C697" s="95">
        <v>2022</v>
      </c>
      <c r="D697" s="96">
        <v>0.4</v>
      </c>
      <c r="E697" s="96"/>
      <c r="F697" s="97">
        <v>15</v>
      </c>
      <c r="G697" s="209">
        <v>12.36669</v>
      </c>
      <c r="H697" s="147"/>
    </row>
    <row r="698" spans="1:12" x14ac:dyDescent="0.25">
      <c r="A698" s="105" t="s">
        <v>784</v>
      </c>
      <c r="B698" s="94" t="s">
        <v>7</v>
      </c>
      <c r="C698" s="95">
        <v>2022</v>
      </c>
      <c r="D698" s="96">
        <v>0.4</v>
      </c>
      <c r="E698" s="96"/>
      <c r="F698" s="97">
        <v>5</v>
      </c>
      <c r="G698" s="202">
        <v>12.332610000000001</v>
      </c>
      <c r="H698" s="147"/>
    </row>
    <row r="699" spans="1:12" x14ac:dyDescent="0.25">
      <c r="A699" s="105" t="s">
        <v>784</v>
      </c>
      <c r="B699" s="94" t="s">
        <v>6</v>
      </c>
      <c r="C699" s="95">
        <v>2022</v>
      </c>
      <c r="D699" s="96">
        <v>0.4</v>
      </c>
      <c r="E699" s="96"/>
      <c r="F699" s="97">
        <v>5</v>
      </c>
      <c r="G699" s="202">
        <v>6.0021499999999994</v>
      </c>
      <c r="H699" s="147"/>
    </row>
    <row r="700" spans="1:12" ht="36.75" customHeight="1" thickBot="1" x14ac:dyDescent="0.3">
      <c r="A700" s="112" t="s">
        <v>784</v>
      </c>
      <c r="B700" s="113" t="s">
        <v>4</v>
      </c>
      <c r="C700" s="114">
        <v>2022</v>
      </c>
      <c r="D700" s="115">
        <v>0.4</v>
      </c>
      <c r="E700" s="115"/>
      <c r="F700" s="116">
        <v>5</v>
      </c>
      <c r="G700" s="210">
        <v>15.31967</v>
      </c>
      <c r="H700" s="147"/>
    </row>
    <row r="701" spans="1:12" ht="29.25" customHeight="1" x14ac:dyDescent="0.25">
      <c r="A701" s="251" t="s">
        <v>784</v>
      </c>
      <c r="B701" s="256" t="s">
        <v>797</v>
      </c>
      <c r="C701" s="187">
        <v>2023</v>
      </c>
      <c r="D701" s="120">
        <v>0.4</v>
      </c>
      <c r="E701" s="235">
        <v>1</v>
      </c>
      <c r="F701" s="253">
        <v>5</v>
      </c>
      <c r="G701" s="109">
        <v>26.695440000000001</v>
      </c>
      <c r="L701" s="15"/>
    </row>
    <row r="702" spans="1:12" ht="29.25" customHeight="1" x14ac:dyDescent="0.25">
      <c r="A702" s="251" t="s">
        <v>784</v>
      </c>
      <c r="B702" s="256" t="s">
        <v>798</v>
      </c>
      <c r="C702" s="187">
        <v>2023</v>
      </c>
      <c r="D702" s="120">
        <v>0.4</v>
      </c>
      <c r="E702" s="235">
        <v>1</v>
      </c>
      <c r="F702" s="224">
        <v>5</v>
      </c>
      <c r="G702" s="109">
        <v>26.695439999999998</v>
      </c>
      <c r="L702" s="15"/>
    </row>
    <row r="703" spans="1:12" ht="29.25" customHeight="1" x14ac:dyDescent="0.25">
      <c r="A703" s="251" t="s">
        <v>784</v>
      </c>
      <c r="B703" s="256" t="s">
        <v>799</v>
      </c>
      <c r="C703" s="187">
        <v>2023</v>
      </c>
      <c r="D703" s="120">
        <v>0.4</v>
      </c>
      <c r="E703" s="235">
        <v>1</v>
      </c>
      <c r="F703" s="224">
        <v>5</v>
      </c>
      <c r="G703" s="109">
        <v>26.836599999999997</v>
      </c>
      <c r="L703" s="15"/>
    </row>
    <row r="704" spans="1:12" ht="29.25" customHeight="1" x14ac:dyDescent="0.25">
      <c r="A704" s="251" t="s">
        <v>784</v>
      </c>
      <c r="B704" s="256" t="s">
        <v>795</v>
      </c>
      <c r="C704" s="187">
        <v>2023</v>
      </c>
      <c r="D704" s="120">
        <v>0.4</v>
      </c>
      <c r="E704" s="235">
        <v>1</v>
      </c>
      <c r="F704" s="224">
        <v>5</v>
      </c>
      <c r="G704" s="109">
        <v>27.159569999999999</v>
      </c>
      <c r="L704" s="15"/>
    </row>
    <row r="705" spans="1:12" ht="29.25" customHeight="1" x14ac:dyDescent="0.25">
      <c r="A705" s="251" t="s">
        <v>784</v>
      </c>
      <c r="B705" s="256" t="s">
        <v>796</v>
      </c>
      <c r="C705" s="187">
        <v>2023</v>
      </c>
      <c r="D705" s="120">
        <v>0.4</v>
      </c>
      <c r="E705" s="235">
        <v>1</v>
      </c>
      <c r="F705" s="224">
        <v>5</v>
      </c>
      <c r="G705" s="109">
        <v>26.819040000000001</v>
      </c>
      <c r="L705" s="15"/>
    </row>
    <row r="706" spans="1:12" ht="29.25" customHeight="1" x14ac:dyDescent="0.25">
      <c r="A706" s="251" t="s">
        <v>784</v>
      </c>
      <c r="B706" s="257" t="s">
        <v>800</v>
      </c>
      <c r="C706" s="187">
        <v>2023</v>
      </c>
      <c r="D706" s="120">
        <v>0.4</v>
      </c>
      <c r="E706" s="235">
        <v>1</v>
      </c>
      <c r="F706" s="224">
        <v>5</v>
      </c>
      <c r="G706" s="109">
        <v>26.695439999999998</v>
      </c>
      <c r="L706" s="15"/>
    </row>
    <row r="707" spans="1:12" ht="29.25" customHeight="1" x14ac:dyDescent="0.25">
      <c r="A707" s="251" t="s">
        <v>784</v>
      </c>
      <c r="B707" s="257" t="s">
        <v>801</v>
      </c>
      <c r="C707" s="187">
        <v>2023</v>
      </c>
      <c r="D707" s="120">
        <v>0.4</v>
      </c>
      <c r="E707" s="235">
        <v>1</v>
      </c>
      <c r="F707" s="224">
        <v>5</v>
      </c>
      <c r="G707" s="109">
        <v>12.869680000000001</v>
      </c>
      <c r="L707" s="15"/>
    </row>
    <row r="708" spans="1:12" ht="29.25" customHeight="1" x14ac:dyDescent="0.25">
      <c r="A708" s="251" t="s">
        <v>784</v>
      </c>
      <c r="B708" s="257" t="s">
        <v>802</v>
      </c>
      <c r="C708" s="187">
        <v>2023</v>
      </c>
      <c r="D708" s="120">
        <v>0.4</v>
      </c>
      <c r="E708" s="235">
        <v>1</v>
      </c>
      <c r="F708" s="224">
        <v>5</v>
      </c>
      <c r="G708" s="109">
        <v>12.869680000000001</v>
      </c>
      <c r="L708" s="15"/>
    </row>
    <row r="709" spans="1:12" ht="29.25" customHeight="1" x14ac:dyDescent="0.25">
      <c r="A709" s="251" t="s">
        <v>784</v>
      </c>
      <c r="B709" s="257" t="s">
        <v>803</v>
      </c>
      <c r="C709" s="187">
        <v>2023</v>
      </c>
      <c r="D709" s="120">
        <v>0.4</v>
      </c>
      <c r="E709" s="235">
        <v>1</v>
      </c>
      <c r="F709" s="224">
        <v>5</v>
      </c>
      <c r="G709" s="109">
        <v>12.52181</v>
      </c>
      <c r="L709" s="15"/>
    </row>
    <row r="710" spans="1:12" ht="29.25" customHeight="1" x14ac:dyDescent="0.25">
      <c r="A710" s="251" t="s">
        <v>785</v>
      </c>
      <c r="B710" s="257" t="s">
        <v>804</v>
      </c>
      <c r="C710" s="187">
        <v>2023</v>
      </c>
      <c r="D710" s="120">
        <v>0.4</v>
      </c>
      <c r="E710" s="235">
        <v>1</v>
      </c>
      <c r="F710" s="224">
        <v>15</v>
      </c>
      <c r="G710" s="109">
        <v>34.348489999999998</v>
      </c>
      <c r="L710" s="15"/>
    </row>
    <row r="711" spans="1:12" ht="29.25" customHeight="1" x14ac:dyDescent="0.25">
      <c r="A711" s="251" t="s">
        <v>784</v>
      </c>
      <c r="B711" s="257" t="s">
        <v>805</v>
      </c>
      <c r="C711" s="187">
        <v>2023</v>
      </c>
      <c r="D711" s="120">
        <v>0.4</v>
      </c>
      <c r="E711" s="235">
        <v>1</v>
      </c>
      <c r="F711" s="224">
        <v>5</v>
      </c>
      <c r="G711" s="109">
        <v>12.617649999999999</v>
      </c>
      <c r="L711" s="15"/>
    </row>
    <row r="712" spans="1:12" ht="29.25" customHeight="1" x14ac:dyDescent="0.25">
      <c r="A712" s="251" t="s">
        <v>784</v>
      </c>
      <c r="B712" s="257" t="s">
        <v>806</v>
      </c>
      <c r="C712" s="187">
        <v>2023</v>
      </c>
      <c r="D712" s="120">
        <v>0.4</v>
      </c>
      <c r="E712" s="235">
        <v>1</v>
      </c>
      <c r="F712" s="224">
        <v>5</v>
      </c>
      <c r="G712" s="109">
        <v>12.810639999999999</v>
      </c>
      <c r="L712" s="15"/>
    </row>
    <row r="713" spans="1:12" ht="29.25" customHeight="1" x14ac:dyDescent="0.25">
      <c r="A713" s="251" t="s">
        <v>785</v>
      </c>
      <c r="B713" s="258" t="s">
        <v>807</v>
      </c>
      <c r="C713" s="187">
        <v>2023</v>
      </c>
      <c r="D713" s="120">
        <v>0.4</v>
      </c>
      <c r="E713" s="235">
        <v>1</v>
      </c>
      <c r="F713" s="224">
        <v>15</v>
      </c>
      <c r="G713" s="109">
        <v>25.269020000000001</v>
      </c>
      <c r="L713" s="15"/>
    </row>
    <row r="714" spans="1:12" ht="29.25" customHeight="1" x14ac:dyDescent="0.25">
      <c r="A714" s="251" t="s">
        <v>784</v>
      </c>
      <c r="B714" s="257" t="s">
        <v>808</v>
      </c>
      <c r="C714" s="187">
        <v>2023</v>
      </c>
      <c r="D714" s="120">
        <v>0.4</v>
      </c>
      <c r="E714" s="235">
        <v>1</v>
      </c>
      <c r="F714" s="224">
        <v>5</v>
      </c>
      <c r="G714" s="109">
        <v>12.673299999999999</v>
      </c>
      <c r="L714" s="15"/>
    </row>
    <row r="715" spans="1:12" ht="29.25" customHeight="1" x14ac:dyDescent="0.25">
      <c r="A715" s="251" t="s">
        <v>784</v>
      </c>
      <c r="B715" s="257" t="s">
        <v>809</v>
      </c>
      <c r="C715" s="187">
        <v>2023</v>
      </c>
      <c r="D715" s="120">
        <v>0.4</v>
      </c>
      <c r="E715" s="235">
        <v>1</v>
      </c>
      <c r="F715" s="224">
        <v>5</v>
      </c>
      <c r="G715" s="109">
        <v>26.898400000000002</v>
      </c>
      <c r="L715" s="15"/>
    </row>
    <row r="716" spans="1:12" ht="29.25" customHeight="1" x14ac:dyDescent="0.25">
      <c r="A716" s="251" t="s">
        <v>785</v>
      </c>
      <c r="B716" s="257" t="s">
        <v>810</v>
      </c>
      <c r="C716" s="187">
        <v>2023</v>
      </c>
      <c r="D716" s="120">
        <v>0.4</v>
      </c>
      <c r="E716" s="235">
        <v>1</v>
      </c>
      <c r="F716" s="224">
        <v>15</v>
      </c>
      <c r="G716" s="109">
        <v>0</v>
      </c>
      <c r="L716" s="15"/>
    </row>
    <row r="717" spans="1:12" ht="29.25" customHeight="1" x14ac:dyDescent="0.25">
      <c r="A717" s="251" t="s">
        <v>785</v>
      </c>
      <c r="B717" s="257" t="s">
        <v>811</v>
      </c>
      <c r="C717" s="187">
        <v>2023</v>
      </c>
      <c r="D717" s="120">
        <v>0.4</v>
      </c>
      <c r="E717" s="235">
        <v>1</v>
      </c>
      <c r="F717" s="224">
        <v>15</v>
      </c>
      <c r="G717" s="109">
        <v>24.62678</v>
      </c>
      <c r="L717" s="15"/>
    </row>
    <row r="718" spans="1:12" ht="29.25" customHeight="1" x14ac:dyDescent="0.25">
      <c r="A718" s="251" t="s">
        <v>784</v>
      </c>
      <c r="B718" s="257" t="s">
        <v>812</v>
      </c>
      <c r="C718" s="187">
        <v>2023</v>
      </c>
      <c r="D718" s="120">
        <v>0.4</v>
      </c>
      <c r="E718" s="235">
        <v>1</v>
      </c>
      <c r="F718" s="224">
        <v>5</v>
      </c>
      <c r="G718" s="109">
        <v>28.24935</v>
      </c>
      <c r="L718" s="15"/>
    </row>
    <row r="719" spans="1:12" ht="29.25" customHeight="1" x14ac:dyDescent="0.25">
      <c r="A719" s="251" t="s">
        <v>784</v>
      </c>
      <c r="B719" s="257" t="s">
        <v>813</v>
      </c>
      <c r="C719" s="187">
        <v>2023</v>
      </c>
      <c r="D719" s="120">
        <v>0.4</v>
      </c>
      <c r="E719" s="235">
        <v>1</v>
      </c>
      <c r="F719" s="254">
        <v>5</v>
      </c>
      <c r="G719" s="244">
        <v>12.8697</v>
      </c>
      <c r="L719" s="15"/>
    </row>
    <row r="720" spans="1:12" ht="29.25" customHeight="1" x14ac:dyDescent="0.25">
      <c r="A720" s="251" t="s">
        <v>784</v>
      </c>
      <c r="B720" s="257" t="s">
        <v>814</v>
      </c>
      <c r="C720" s="187">
        <v>2023</v>
      </c>
      <c r="D720" s="120">
        <v>0.4</v>
      </c>
      <c r="E720" s="235">
        <v>1</v>
      </c>
      <c r="F720" s="254">
        <v>5</v>
      </c>
      <c r="G720" s="244">
        <v>12.673309999999999</v>
      </c>
      <c r="L720" s="15"/>
    </row>
    <row r="721" spans="1:12" ht="29.25" customHeight="1" x14ac:dyDescent="0.25">
      <c r="A721" s="251" t="s">
        <v>785</v>
      </c>
      <c r="B721" s="257" t="s">
        <v>815</v>
      </c>
      <c r="C721" s="187">
        <v>2023</v>
      </c>
      <c r="D721" s="120">
        <v>0.4</v>
      </c>
      <c r="E721" s="235">
        <v>1</v>
      </c>
      <c r="F721" s="254">
        <v>15</v>
      </c>
      <c r="G721" s="244">
        <v>23.948139999999999</v>
      </c>
      <c r="L721" s="15"/>
    </row>
    <row r="722" spans="1:12" ht="29.25" customHeight="1" x14ac:dyDescent="0.25">
      <c r="A722" s="251" t="s">
        <v>785</v>
      </c>
      <c r="B722" s="257" t="s">
        <v>816</v>
      </c>
      <c r="C722" s="187">
        <v>2023</v>
      </c>
      <c r="D722" s="120">
        <v>0.4</v>
      </c>
      <c r="E722" s="235">
        <v>1</v>
      </c>
      <c r="F722" s="254">
        <v>15</v>
      </c>
      <c r="G722" s="244">
        <v>25.173200000000001</v>
      </c>
      <c r="L722" s="15"/>
    </row>
    <row r="723" spans="1:12" ht="29.25" customHeight="1" x14ac:dyDescent="0.25">
      <c r="A723" s="251" t="s">
        <v>785</v>
      </c>
      <c r="B723" s="257" t="s">
        <v>817</v>
      </c>
      <c r="C723" s="187">
        <v>2023</v>
      </c>
      <c r="D723" s="120">
        <v>0.4</v>
      </c>
      <c r="E723" s="235">
        <v>1</v>
      </c>
      <c r="F723" s="254">
        <v>15</v>
      </c>
      <c r="G723" s="244">
        <v>24.754770000000001</v>
      </c>
      <c r="L723" s="15"/>
    </row>
    <row r="724" spans="1:12" ht="29.25" customHeight="1" x14ac:dyDescent="0.25">
      <c r="A724" s="251" t="s">
        <v>784</v>
      </c>
      <c r="B724" s="257" t="s">
        <v>818</v>
      </c>
      <c r="C724" s="187">
        <v>2023</v>
      </c>
      <c r="D724" s="120">
        <v>0.4</v>
      </c>
      <c r="E724" s="235">
        <v>1</v>
      </c>
      <c r="F724" s="254">
        <v>5</v>
      </c>
      <c r="G724" s="244">
        <v>12.57704</v>
      </c>
      <c r="L724" s="15"/>
    </row>
    <row r="725" spans="1:12" ht="29.25" customHeight="1" x14ac:dyDescent="0.25">
      <c r="A725" s="251" t="s">
        <v>784</v>
      </c>
      <c r="B725" s="257" t="s">
        <v>819</v>
      </c>
      <c r="C725" s="187">
        <v>2023</v>
      </c>
      <c r="D725" s="120">
        <v>0.4</v>
      </c>
      <c r="E725" s="235">
        <v>1</v>
      </c>
      <c r="F725" s="254">
        <v>5</v>
      </c>
      <c r="G725" s="244">
        <v>12.98114</v>
      </c>
      <c r="L725" s="15"/>
    </row>
    <row r="726" spans="1:12" ht="29.25" customHeight="1" x14ac:dyDescent="0.25">
      <c r="A726" s="251" t="s">
        <v>785</v>
      </c>
      <c r="B726" s="257" t="s">
        <v>820</v>
      </c>
      <c r="C726" s="187">
        <v>2023</v>
      </c>
      <c r="D726" s="120">
        <v>0.4</v>
      </c>
      <c r="E726" s="235">
        <v>1</v>
      </c>
      <c r="F726" s="254">
        <v>15</v>
      </c>
      <c r="G726" s="244">
        <v>76.11506</v>
      </c>
      <c r="L726" s="15"/>
    </row>
    <row r="727" spans="1:12" ht="29.25" customHeight="1" x14ac:dyDescent="0.25">
      <c r="A727" s="251" t="s">
        <v>785</v>
      </c>
      <c r="B727" s="257" t="s">
        <v>821</v>
      </c>
      <c r="C727" s="187">
        <v>2023</v>
      </c>
      <c r="D727" s="120">
        <v>0.4</v>
      </c>
      <c r="E727" s="235">
        <v>1</v>
      </c>
      <c r="F727" s="254">
        <v>15</v>
      </c>
      <c r="G727" s="244">
        <v>31.777650000000001</v>
      </c>
      <c r="L727" s="15"/>
    </row>
    <row r="728" spans="1:12" ht="29.25" customHeight="1" x14ac:dyDescent="0.25">
      <c r="A728" s="251" t="s">
        <v>785</v>
      </c>
      <c r="B728" s="257" t="s">
        <v>822</v>
      </c>
      <c r="C728" s="187">
        <v>2023</v>
      </c>
      <c r="D728" s="120">
        <v>0.4</v>
      </c>
      <c r="E728" s="235">
        <v>1</v>
      </c>
      <c r="F728" s="254">
        <v>15</v>
      </c>
      <c r="G728" s="244">
        <v>25.12622</v>
      </c>
      <c r="L728" s="15"/>
    </row>
    <row r="729" spans="1:12" ht="29.25" customHeight="1" x14ac:dyDescent="0.25">
      <c r="A729" s="251" t="s">
        <v>784</v>
      </c>
      <c r="B729" s="257" t="s">
        <v>823</v>
      </c>
      <c r="C729" s="187">
        <v>2023</v>
      </c>
      <c r="D729" s="120">
        <v>0.4</v>
      </c>
      <c r="E729" s="235">
        <v>1</v>
      </c>
      <c r="F729" s="254">
        <v>5</v>
      </c>
      <c r="G729" s="244">
        <v>13.109</v>
      </c>
      <c r="L729" s="15"/>
    </row>
    <row r="730" spans="1:12" ht="29.25" customHeight="1" x14ac:dyDescent="0.25">
      <c r="A730" s="251" t="s">
        <v>784</v>
      </c>
      <c r="B730" s="257" t="s">
        <v>824</v>
      </c>
      <c r="C730" s="187">
        <v>2023</v>
      </c>
      <c r="D730" s="120">
        <v>0.4</v>
      </c>
      <c r="E730" s="235">
        <v>1</v>
      </c>
      <c r="F730" s="254">
        <v>5</v>
      </c>
      <c r="G730" s="244">
        <v>13.159520000000001</v>
      </c>
      <c r="L730" s="15"/>
    </row>
    <row r="731" spans="1:12" ht="29.25" customHeight="1" x14ac:dyDescent="0.25">
      <c r="A731" s="251" t="s">
        <v>785</v>
      </c>
      <c r="B731" s="257" t="s">
        <v>825</v>
      </c>
      <c r="C731" s="187">
        <v>2023</v>
      </c>
      <c r="D731" s="120">
        <v>0.4</v>
      </c>
      <c r="E731" s="235">
        <v>1</v>
      </c>
      <c r="F731" s="254">
        <v>15</v>
      </c>
      <c r="G731" s="244">
        <v>24.974550000000001</v>
      </c>
      <c r="L731" s="15"/>
    </row>
    <row r="732" spans="1:12" ht="29.25" customHeight="1" x14ac:dyDescent="0.25">
      <c r="A732" s="251" t="s">
        <v>784</v>
      </c>
      <c r="B732" s="257" t="s">
        <v>826</v>
      </c>
      <c r="C732" s="187">
        <v>2023</v>
      </c>
      <c r="D732" s="120">
        <v>0.4</v>
      </c>
      <c r="E732" s="235">
        <v>1</v>
      </c>
      <c r="F732" s="254">
        <v>5</v>
      </c>
      <c r="G732" s="244">
        <v>13.109</v>
      </c>
      <c r="L732" s="15"/>
    </row>
    <row r="733" spans="1:12" ht="29.25" customHeight="1" x14ac:dyDescent="0.25">
      <c r="A733" s="251" t="s">
        <v>785</v>
      </c>
      <c r="B733" s="257" t="s">
        <v>827</v>
      </c>
      <c r="C733" s="187">
        <v>2023</v>
      </c>
      <c r="D733" s="120">
        <v>0.4</v>
      </c>
      <c r="E733" s="235">
        <v>1</v>
      </c>
      <c r="F733" s="254">
        <v>15</v>
      </c>
      <c r="G733" s="244">
        <v>24.98</v>
      </c>
      <c r="L733" s="15"/>
    </row>
    <row r="734" spans="1:12" ht="29.25" customHeight="1" x14ac:dyDescent="0.25">
      <c r="A734" s="251" t="s">
        <v>785</v>
      </c>
      <c r="B734" s="257" t="s">
        <v>828</v>
      </c>
      <c r="C734" s="187">
        <v>2023</v>
      </c>
      <c r="D734" s="120">
        <v>0.4</v>
      </c>
      <c r="E734" s="235">
        <v>1</v>
      </c>
      <c r="F734" s="254">
        <v>15</v>
      </c>
      <c r="G734" s="244">
        <v>25.173200000000001</v>
      </c>
      <c r="L734" s="15"/>
    </row>
    <row r="735" spans="1:12" ht="29.25" customHeight="1" x14ac:dyDescent="0.25">
      <c r="A735" s="251" t="s">
        <v>785</v>
      </c>
      <c r="B735" s="257" t="s">
        <v>829</v>
      </c>
      <c r="C735" s="187">
        <v>2023</v>
      </c>
      <c r="D735" s="120">
        <v>0.4</v>
      </c>
      <c r="E735" s="235">
        <v>1</v>
      </c>
      <c r="F735" s="254">
        <v>15</v>
      </c>
      <c r="G735" s="244">
        <v>25.712580000000003</v>
      </c>
      <c r="L735" s="15"/>
    </row>
    <row r="736" spans="1:12" ht="29.25" customHeight="1" x14ac:dyDescent="0.25">
      <c r="A736" s="251" t="s">
        <v>785</v>
      </c>
      <c r="B736" s="257" t="s">
        <v>830</v>
      </c>
      <c r="C736" s="187">
        <v>2023</v>
      </c>
      <c r="D736" s="120">
        <v>0.4</v>
      </c>
      <c r="E736" s="235">
        <v>1</v>
      </c>
      <c r="F736" s="254">
        <v>15</v>
      </c>
      <c r="G736" s="244">
        <v>26.067450000000001</v>
      </c>
      <c r="L736" s="15"/>
    </row>
    <row r="737" spans="1:12" ht="29.25" customHeight="1" x14ac:dyDescent="0.25">
      <c r="A737" s="251" t="s">
        <v>785</v>
      </c>
      <c r="B737" s="257" t="s">
        <v>831</v>
      </c>
      <c r="C737" s="187">
        <v>2023</v>
      </c>
      <c r="D737" s="120">
        <v>0.4</v>
      </c>
      <c r="E737" s="235">
        <v>1</v>
      </c>
      <c r="F737" s="254">
        <v>15</v>
      </c>
      <c r="G737" s="244">
        <v>25.52309</v>
      </c>
      <c r="L737" s="15"/>
    </row>
    <row r="738" spans="1:12" ht="29.25" customHeight="1" x14ac:dyDescent="0.25">
      <c r="A738" s="251" t="s">
        <v>784</v>
      </c>
      <c r="B738" s="257" t="s">
        <v>832</v>
      </c>
      <c r="C738" s="187">
        <v>2023</v>
      </c>
      <c r="D738" s="120">
        <v>0.4</v>
      </c>
      <c r="E738" s="235">
        <v>1</v>
      </c>
      <c r="F738" s="254">
        <v>5</v>
      </c>
      <c r="G738" s="244">
        <v>13.159520000000001</v>
      </c>
      <c r="L738" s="15"/>
    </row>
    <row r="739" spans="1:12" ht="29.25" customHeight="1" x14ac:dyDescent="0.25">
      <c r="A739" s="251" t="s">
        <v>784</v>
      </c>
      <c r="B739" s="257" t="s">
        <v>833</v>
      </c>
      <c r="C739" s="187">
        <v>2023</v>
      </c>
      <c r="D739" s="120">
        <v>0.4</v>
      </c>
      <c r="E739" s="235">
        <v>1</v>
      </c>
      <c r="F739" s="254">
        <v>5</v>
      </c>
      <c r="G739" s="244">
        <v>9.9173299999999998</v>
      </c>
      <c r="L739" s="15"/>
    </row>
    <row r="740" spans="1:12" ht="29.25" customHeight="1" x14ac:dyDescent="0.25">
      <c r="A740" s="251" t="s">
        <v>785</v>
      </c>
      <c r="B740" s="257" t="s">
        <v>834</v>
      </c>
      <c r="C740" s="187">
        <v>2023</v>
      </c>
      <c r="D740" s="120">
        <v>0.4</v>
      </c>
      <c r="E740" s="235">
        <v>1</v>
      </c>
      <c r="F740" s="254">
        <v>14</v>
      </c>
      <c r="G740" s="244">
        <v>9.3739799999999995</v>
      </c>
      <c r="L740" s="15"/>
    </row>
    <row r="741" spans="1:12" ht="29.25" customHeight="1" x14ac:dyDescent="0.25">
      <c r="A741" s="251" t="s">
        <v>785</v>
      </c>
      <c r="B741" s="257" t="s">
        <v>835</v>
      </c>
      <c r="C741" s="187">
        <v>2023</v>
      </c>
      <c r="D741" s="120">
        <v>0.4</v>
      </c>
      <c r="E741" s="235">
        <v>1</v>
      </c>
      <c r="F741" s="254">
        <v>15</v>
      </c>
      <c r="G741" s="244">
        <v>25.712580000000003</v>
      </c>
      <c r="L741" s="15"/>
    </row>
    <row r="742" spans="1:12" ht="29.25" customHeight="1" x14ac:dyDescent="0.25">
      <c r="A742" s="251" t="s">
        <v>785</v>
      </c>
      <c r="B742" s="257" t="s">
        <v>836</v>
      </c>
      <c r="C742" s="187">
        <v>2023</v>
      </c>
      <c r="D742" s="120">
        <v>0.4</v>
      </c>
      <c r="E742" s="235">
        <v>1</v>
      </c>
      <c r="F742" s="254">
        <v>15</v>
      </c>
      <c r="G742" s="244">
        <v>26.235979999999998</v>
      </c>
      <c r="L742" s="15"/>
    </row>
    <row r="743" spans="1:12" ht="29.25" customHeight="1" x14ac:dyDescent="0.25">
      <c r="A743" s="251" t="s">
        <v>785</v>
      </c>
      <c r="B743" s="257" t="s">
        <v>837</v>
      </c>
      <c r="C743" s="187">
        <v>2023</v>
      </c>
      <c r="D743" s="120">
        <v>0.4</v>
      </c>
      <c r="E743" s="235">
        <v>1</v>
      </c>
      <c r="F743" s="254">
        <v>15</v>
      </c>
      <c r="G743" s="244">
        <v>24.754770000000001</v>
      </c>
      <c r="L743" s="15"/>
    </row>
    <row r="744" spans="1:12" ht="29.25" customHeight="1" x14ac:dyDescent="0.25">
      <c r="A744" s="251" t="s">
        <v>784</v>
      </c>
      <c r="B744" s="257" t="s">
        <v>838</v>
      </c>
      <c r="C744" s="187">
        <v>2023</v>
      </c>
      <c r="D744" s="120">
        <v>0.4</v>
      </c>
      <c r="E744" s="235">
        <v>1</v>
      </c>
      <c r="F744" s="254">
        <v>5</v>
      </c>
      <c r="G744" s="244">
        <v>13.30566</v>
      </c>
      <c r="L744" s="15"/>
    </row>
    <row r="745" spans="1:12" ht="29.25" customHeight="1" x14ac:dyDescent="0.25">
      <c r="A745" s="251" t="s">
        <v>785</v>
      </c>
      <c r="B745" s="257" t="s">
        <v>839</v>
      </c>
      <c r="C745" s="187">
        <v>2023</v>
      </c>
      <c r="D745" s="120">
        <v>0.4</v>
      </c>
      <c r="E745" s="235">
        <v>1</v>
      </c>
      <c r="F745" s="254">
        <v>15</v>
      </c>
      <c r="G745" s="244">
        <v>25.269029999999997</v>
      </c>
      <c r="L745" s="15"/>
    </row>
    <row r="746" spans="1:12" ht="29.25" customHeight="1" x14ac:dyDescent="0.25">
      <c r="A746" s="251" t="s">
        <v>784</v>
      </c>
      <c r="B746" s="257" t="s">
        <v>840</v>
      </c>
      <c r="C746" s="187">
        <v>2023</v>
      </c>
      <c r="D746" s="120">
        <v>0.4</v>
      </c>
      <c r="E746" s="235">
        <v>1</v>
      </c>
      <c r="F746" s="254">
        <v>5</v>
      </c>
      <c r="G746" s="244">
        <v>12.869680000000001</v>
      </c>
      <c r="L746" s="15"/>
    </row>
    <row r="747" spans="1:12" ht="29.25" customHeight="1" x14ac:dyDescent="0.25">
      <c r="A747" s="251" t="s">
        <v>784</v>
      </c>
      <c r="B747" s="257" t="s">
        <v>841</v>
      </c>
      <c r="C747" s="187">
        <v>2023</v>
      </c>
      <c r="D747" s="120">
        <v>0.4</v>
      </c>
      <c r="E747" s="235">
        <v>1</v>
      </c>
      <c r="F747" s="254">
        <v>5</v>
      </c>
      <c r="G747" s="244">
        <v>13.251340000000001</v>
      </c>
      <c r="L747" s="15"/>
    </row>
    <row r="748" spans="1:12" ht="29.25" customHeight="1" x14ac:dyDescent="0.25">
      <c r="A748" s="251" t="s">
        <v>784</v>
      </c>
      <c r="B748" s="257" t="s">
        <v>842</v>
      </c>
      <c r="C748" s="187">
        <v>2023</v>
      </c>
      <c r="D748" s="120">
        <v>0.4</v>
      </c>
      <c r="E748" s="235">
        <v>1</v>
      </c>
      <c r="F748" s="254">
        <v>5</v>
      </c>
      <c r="G748" s="244">
        <v>13.251340000000001</v>
      </c>
      <c r="L748" s="15"/>
    </row>
    <row r="749" spans="1:12" ht="29.25" customHeight="1" x14ac:dyDescent="0.25">
      <c r="A749" s="251" t="s">
        <v>785</v>
      </c>
      <c r="B749" s="257" t="s">
        <v>843</v>
      </c>
      <c r="C749" s="187">
        <v>2023</v>
      </c>
      <c r="D749" s="120">
        <v>0.4</v>
      </c>
      <c r="E749" s="235">
        <v>1</v>
      </c>
      <c r="F749" s="254">
        <v>15</v>
      </c>
      <c r="G749" s="244">
        <v>25.25309</v>
      </c>
      <c r="L749" s="15"/>
    </row>
    <row r="750" spans="1:12" ht="29.25" customHeight="1" x14ac:dyDescent="0.25">
      <c r="A750" s="251" t="s">
        <v>784</v>
      </c>
      <c r="B750" s="257" t="s">
        <v>844</v>
      </c>
      <c r="C750" s="187">
        <v>2023</v>
      </c>
      <c r="D750" s="120">
        <v>0.4</v>
      </c>
      <c r="E750" s="235">
        <v>1</v>
      </c>
      <c r="F750" s="254">
        <v>5</v>
      </c>
      <c r="G750" s="244">
        <v>25.159669999999998</v>
      </c>
      <c r="L750" s="15"/>
    </row>
    <row r="751" spans="1:12" ht="29.25" customHeight="1" x14ac:dyDescent="0.25">
      <c r="A751" s="251" t="s">
        <v>784</v>
      </c>
      <c r="B751" s="257" t="s">
        <v>845</v>
      </c>
      <c r="C751" s="187">
        <v>2023</v>
      </c>
      <c r="D751" s="120">
        <v>0.4</v>
      </c>
      <c r="E751" s="235">
        <v>1</v>
      </c>
      <c r="F751" s="254">
        <v>5</v>
      </c>
      <c r="G751" s="244">
        <v>12.617649999999999</v>
      </c>
      <c r="L751" s="15"/>
    </row>
    <row r="752" spans="1:12" ht="29.25" customHeight="1" x14ac:dyDescent="0.25">
      <c r="A752" s="251" t="s">
        <v>785</v>
      </c>
      <c r="B752" s="257" t="s">
        <v>846</v>
      </c>
      <c r="C752" s="187">
        <v>2023</v>
      </c>
      <c r="D752" s="120">
        <v>0.4</v>
      </c>
      <c r="E752" s="235">
        <v>1</v>
      </c>
      <c r="F752" s="254">
        <v>15</v>
      </c>
      <c r="G752" s="244">
        <v>31.531179999999999</v>
      </c>
      <c r="L752" s="15"/>
    </row>
    <row r="753" spans="1:12" ht="29.25" customHeight="1" x14ac:dyDescent="0.25">
      <c r="A753" s="251" t="s">
        <v>784</v>
      </c>
      <c r="B753" s="257" t="s">
        <v>847</v>
      </c>
      <c r="C753" s="187">
        <v>2023</v>
      </c>
      <c r="D753" s="120">
        <v>0.4</v>
      </c>
      <c r="E753" s="235">
        <v>1</v>
      </c>
      <c r="F753" s="254">
        <v>5</v>
      </c>
      <c r="G753" s="244">
        <v>12.77122</v>
      </c>
      <c r="L753" s="15"/>
    </row>
    <row r="754" spans="1:12" ht="29.25" customHeight="1" x14ac:dyDescent="0.25">
      <c r="A754" s="251" t="s">
        <v>784</v>
      </c>
      <c r="B754" s="257" t="s">
        <v>848</v>
      </c>
      <c r="C754" s="187">
        <v>2023</v>
      </c>
      <c r="D754" s="120">
        <v>0.4</v>
      </c>
      <c r="E754" s="235">
        <v>1</v>
      </c>
      <c r="F754" s="254">
        <v>5</v>
      </c>
      <c r="G754" s="244">
        <v>12.77122</v>
      </c>
      <c r="L754" s="15"/>
    </row>
    <row r="755" spans="1:12" ht="29.25" customHeight="1" x14ac:dyDescent="0.25">
      <c r="A755" s="251" t="s">
        <v>785</v>
      </c>
      <c r="B755" s="257" t="s">
        <v>849</v>
      </c>
      <c r="C755" s="187">
        <v>2023</v>
      </c>
      <c r="D755" s="120">
        <v>0.4</v>
      </c>
      <c r="E755" s="235">
        <v>1</v>
      </c>
      <c r="F755" s="254">
        <v>15</v>
      </c>
      <c r="G755" s="244">
        <v>31.840979999999998</v>
      </c>
      <c r="L755" s="15"/>
    </row>
    <row r="756" spans="1:12" ht="29.25" customHeight="1" x14ac:dyDescent="0.25">
      <c r="A756" s="251" t="s">
        <v>785</v>
      </c>
      <c r="B756" s="257" t="s">
        <v>850</v>
      </c>
      <c r="C756" s="187">
        <v>2023</v>
      </c>
      <c r="D756" s="120">
        <v>0.4</v>
      </c>
      <c r="E756" s="235">
        <v>1</v>
      </c>
      <c r="F756" s="254">
        <v>15</v>
      </c>
      <c r="G756" s="244">
        <v>25.173189999999998</v>
      </c>
      <c r="L756" s="15"/>
    </row>
    <row r="757" spans="1:12" ht="29.25" customHeight="1" x14ac:dyDescent="0.25">
      <c r="A757" s="251" t="s">
        <v>785</v>
      </c>
      <c r="B757" s="257" t="s">
        <v>851</v>
      </c>
      <c r="C757" s="187">
        <v>2023</v>
      </c>
      <c r="D757" s="120">
        <v>0.4</v>
      </c>
      <c r="E757" s="235">
        <v>1</v>
      </c>
      <c r="F757" s="254">
        <v>15</v>
      </c>
      <c r="G757" s="244">
        <v>31.531179999999999</v>
      </c>
      <c r="L757" s="15"/>
    </row>
    <row r="758" spans="1:12" ht="29.25" customHeight="1" x14ac:dyDescent="0.25">
      <c r="A758" s="251" t="s">
        <v>784</v>
      </c>
      <c r="B758" s="257" t="s">
        <v>852</v>
      </c>
      <c r="C758" s="187">
        <v>2023</v>
      </c>
      <c r="D758" s="120">
        <v>0.4</v>
      </c>
      <c r="E758" s="235">
        <v>1</v>
      </c>
      <c r="F758" s="254">
        <v>5</v>
      </c>
      <c r="G758" s="244">
        <v>23.694490000000002</v>
      </c>
      <c r="L758" s="15"/>
    </row>
    <row r="759" spans="1:12" ht="29.25" customHeight="1" x14ac:dyDescent="0.25">
      <c r="A759" s="251" t="s">
        <v>785</v>
      </c>
      <c r="B759" s="257" t="s">
        <v>853</v>
      </c>
      <c r="C759" s="187">
        <v>2023</v>
      </c>
      <c r="D759" s="120">
        <v>0.4</v>
      </c>
      <c r="E759" s="235">
        <v>1</v>
      </c>
      <c r="F759" s="254">
        <v>15</v>
      </c>
      <c r="G759" s="244">
        <v>25.102540000000001</v>
      </c>
      <c r="L759" s="15"/>
    </row>
    <row r="760" spans="1:12" ht="29.25" customHeight="1" x14ac:dyDescent="0.25">
      <c r="A760" s="251" t="s">
        <v>784</v>
      </c>
      <c r="B760" s="257" t="s">
        <v>854</v>
      </c>
      <c r="C760" s="187">
        <v>2023</v>
      </c>
      <c r="D760" s="120">
        <v>0.4</v>
      </c>
      <c r="E760" s="235">
        <v>1</v>
      </c>
      <c r="F760" s="254">
        <v>5</v>
      </c>
      <c r="G760" s="244">
        <v>12.98114</v>
      </c>
      <c r="L760" s="15"/>
    </row>
    <row r="761" spans="1:12" ht="29.25" customHeight="1" x14ac:dyDescent="0.25">
      <c r="A761" s="251" t="s">
        <v>785</v>
      </c>
      <c r="B761" s="257" t="s">
        <v>855</v>
      </c>
      <c r="C761" s="187">
        <v>2023</v>
      </c>
      <c r="D761" s="120">
        <v>0.4</v>
      </c>
      <c r="E761" s="235">
        <v>1</v>
      </c>
      <c r="F761" s="254">
        <v>15</v>
      </c>
      <c r="G761" s="244">
        <v>24.974550000000001</v>
      </c>
      <c r="L761" s="15"/>
    </row>
    <row r="762" spans="1:12" ht="29.25" customHeight="1" x14ac:dyDescent="0.25">
      <c r="A762" s="251" t="s">
        <v>784</v>
      </c>
      <c r="B762" s="257" t="s">
        <v>856</v>
      </c>
      <c r="C762" s="187">
        <v>2023</v>
      </c>
      <c r="D762" s="120">
        <v>0.4</v>
      </c>
      <c r="E762" s="235">
        <v>1</v>
      </c>
      <c r="F762" s="254">
        <v>5</v>
      </c>
      <c r="G762" s="244">
        <v>26.869319999999998</v>
      </c>
      <c r="L762" s="15"/>
    </row>
    <row r="763" spans="1:12" ht="29.25" customHeight="1" x14ac:dyDescent="0.25">
      <c r="A763" s="251" t="s">
        <v>785</v>
      </c>
      <c r="B763" s="257" t="s">
        <v>857</v>
      </c>
      <c r="C763" s="187">
        <v>2023</v>
      </c>
      <c r="D763" s="120">
        <v>0.4</v>
      </c>
      <c r="E763" s="235">
        <v>1</v>
      </c>
      <c r="F763" s="254">
        <v>15</v>
      </c>
      <c r="G763" s="244">
        <v>25.570970000000003</v>
      </c>
      <c r="L763" s="15"/>
    </row>
    <row r="764" spans="1:12" ht="29.25" customHeight="1" x14ac:dyDescent="0.25">
      <c r="A764" s="251" t="s">
        <v>785</v>
      </c>
      <c r="B764" s="257" t="s">
        <v>858</v>
      </c>
      <c r="C764" s="187">
        <v>2023</v>
      </c>
      <c r="D764" s="120">
        <v>0.4</v>
      </c>
      <c r="E764" s="235">
        <v>1</v>
      </c>
      <c r="F764" s="254">
        <v>15</v>
      </c>
      <c r="G764" s="244">
        <v>45.980160000000005</v>
      </c>
      <c r="L764" s="15"/>
    </row>
    <row r="765" spans="1:12" ht="29.25" customHeight="1" x14ac:dyDescent="0.25">
      <c r="A765" s="251" t="s">
        <v>785</v>
      </c>
      <c r="B765" s="257" t="s">
        <v>859</v>
      </c>
      <c r="C765" s="187">
        <v>2023</v>
      </c>
      <c r="D765" s="120">
        <v>0.4</v>
      </c>
      <c r="E765" s="235">
        <v>1</v>
      </c>
      <c r="F765" s="254">
        <v>15</v>
      </c>
      <c r="G765" s="244">
        <v>24.116630000000001</v>
      </c>
      <c r="L765" s="15"/>
    </row>
    <row r="766" spans="1:12" ht="29.25" customHeight="1" x14ac:dyDescent="0.25">
      <c r="A766" s="251" t="s">
        <v>785</v>
      </c>
      <c r="B766" s="257" t="s">
        <v>860</v>
      </c>
      <c r="C766" s="187">
        <v>2023</v>
      </c>
      <c r="D766" s="120">
        <v>0.4</v>
      </c>
      <c r="E766" s="235">
        <v>1</v>
      </c>
      <c r="F766" s="254">
        <v>15</v>
      </c>
      <c r="G766" s="244">
        <v>24.95553</v>
      </c>
      <c r="L766" s="15"/>
    </row>
    <row r="767" spans="1:12" ht="29.25" customHeight="1" x14ac:dyDescent="0.25">
      <c r="A767" s="251" t="s">
        <v>784</v>
      </c>
      <c r="B767" s="257" t="s">
        <v>861</v>
      </c>
      <c r="C767" s="187">
        <v>2023</v>
      </c>
      <c r="D767" s="120">
        <v>0.4</v>
      </c>
      <c r="E767" s="235">
        <v>1</v>
      </c>
      <c r="F767" s="254">
        <v>5.5</v>
      </c>
      <c r="G767" s="244">
        <v>26.695439999999998</v>
      </c>
      <c r="L767" s="15"/>
    </row>
    <row r="768" spans="1:12" ht="29.25" customHeight="1" x14ac:dyDescent="0.25">
      <c r="A768" s="251" t="s">
        <v>784</v>
      </c>
      <c r="B768" s="257" t="s">
        <v>862</v>
      </c>
      <c r="C768" s="187">
        <v>2023</v>
      </c>
      <c r="D768" s="120">
        <v>0.4</v>
      </c>
      <c r="E768" s="235">
        <v>1</v>
      </c>
      <c r="F768" s="254">
        <v>5</v>
      </c>
      <c r="G768" s="244">
        <v>18.1036</v>
      </c>
      <c r="L768" s="15"/>
    </row>
    <row r="769" spans="1:12" ht="29.25" customHeight="1" x14ac:dyDescent="0.25">
      <c r="A769" s="251" t="s">
        <v>784</v>
      </c>
      <c r="B769" s="258" t="s">
        <v>863</v>
      </c>
      <c r="C769" s="187">
        <v>2023</v>
      </c>
      <c r="D769" s="120">
        <v>0.4</v>
      </c>
      <c r="E769" s="235">
        <v>1</v>
      </c>
      <c r="F769" s="254">
        <v>5</v>
      </c>
      <c r="G769" s="244">
        <v>10.991490000000001</v>
      </c>
      <c r="L769" s="15"/>
    </row>
    <row r="770" spans="1:12" ht="29.25" customHeight="1" x14ac:dyDescent="0.25">
      <c r="A770" s="251" t="s">
        <v>785</v>
      </c>
      <c r="B770" s="257" t="s">
        <v>864</v>
      </c>
      <c r="C770" s="187">
        <v>2023</v>
      </c>
      <c r="D770" s="120">
        <v>0.4</v>
      </c>
      <c r="E770" s="235">
        <v>1</v>
      </c>
      <c r="F770" s="254">
        <v>15</v>
      </c>
      <c r="G770" s="244">
        <v>9.5310300000000012</v>
      </c>
      <c r="L770" s="15"/>
    </row>
    <row r="771" spans="1:12" ht="29.25" customHeight="1" x14ac:dyDescent="0.25">
      <c r="A771" s="251" t="s">
        <v>784</v>
      </c>
      <c r="B771" s="257" t="s">
        <v>865</v>
      </c>
      <c r="C771" s="187">
        <v>2023</v>
      </c>
      <c r="D771" s="120">
        <v>0.4</v>
      </c>
      <c r="E771" s="235">
        <v>1</v>
      </c>
      <c r="F771" s="254">
        <v>5</v>
      </c>
      <c r="G771" s="244">
        <v>27.509790000000002</v>
      </c>
      <c r="L771" s="15"/>
    </row>
    <row r="772" spans="1:12" ht="29.25" customHeight="1" x14ac:dyDescent="0.25">
      <c r="A772" s="251" t="s">
        <v>784</v>
      </c>
      <c r="B772" s="257" t="s">
        <v>866</v>
      </c>
      <c r="C772" s="187">
        <v>2023</v>
      </c>
      <c r="D772" s="120">
        <v>0.4</v>
      </c>
      <c r="E772" s="235">
        <v>1</v>
      </c>
      <c r="F772" s="254">
        <v>5</v>
      </c>
      <c r="G772" s="244">
        <v>11.47007</v>
      </c>
      <c r="L772" s="15"/>
    </row>
    <row r="773" spans="1:12" ht="29.25" customHeight="1" x14ac:dyDescent="0.25">
      <c r="A773" s="251" t="s">
        <v>784</v>
      </c>
      <c r="B773" s="257" t="s">
        <v>867</v>
      </c>
      <c r="C773" s="187">
        <v>2023</v>
      </c>
      <c r="D773" s="120">
        <v>0.4</v>
      </c>
      <c r="E773" s="235">
        <v>1</v>
      </c>
      <c r="F773" s="254">
        <v>5</v>
      </c>
      <c r="G773" s="244">
        <v>26.743369999999999</v>
      </c>
      <c r="L773" s="15"/>
    </row>
    <row r="774" spans="1:12" ht="29.25" customHeight="1" x14ac:dyDescent="0.25">
      <c r="A774" s="251" t="s">
        <v>784</v>
      </c>
      <c r="B774" s="257" t="s">
        <v>868</v>
      </c>
      <c r="C774" s="187">
        <v>2023</v>
      </c>
      <c r="D774" s="120">
        <v>0.4</v>
      </c>
      <c r="E774" s="235">
        <v>1</v>
      </c>
      <c r="F774" s="254">
        <v>5</v>
      </c>
      <c r="G774" s="244">
        <v>26.898240000000001</v>
      </c>
      <c r="L774" s="15"/>
    </row>
    <row r="775" spans="1:12" ht="29.25" customHeight="1" x14ac:dyDescent="0.25">
      <c r="A775" s="251" t="s">
        <v>785</v>
      </c>
      <c r="B775" s="257" t="s">
        <v>869</v>
      </c>
      <c r="C775" s="187">
        <v>2023</v>
      </c>
      <c r="D775" s="120">
        <v>0.4</v>
      </c>
      <c r="E775" s="235">
        <v>1</v>
      </c>
      <c r="F775" s="254">
        <v>15</v>
      </c>
      <c r="G775" s="244">
        <v>34.459710000000001</v>
      </c>
      <c r="L775" s="15"/>
    </row>
    <row r="776" spans="1:12" ht="29.25" customHeight="1" x14ac:dyDescent="0.25">
      <c r="A776" s="251" t="s">
        <v>785</v>
      </c>
      <c r="B776" s="257" t="s">
        <v>870</v>
      </c>
      <c r="C776" s="187">
        <v>2023</v>
      </c>
      <c r="D776" s="120">
        <v>0.4</v>
      </c>
      <c r="E776" s="235">
        <v>1</v>
      </c>
      <c r="F776" s="254">
        <v>15</v>
      </c>
      <c r="G776" s="244">
        <v>25.053439999999998</v>
      </c>
      <c r="L776" s="15"/>
    </row>
    <row r="777" spans="1:12" ht="29.25" customHeight="1" x14ac:dyDescent="0.25">
      <c r="A777" s="251" t="s">
        <v>785</v>
      </c>
      <c r="B777" s="257" t="s">
        <v>871</v>
      </c>
      <c r="C777" s="187">
        <v>2023</v>
      </c>
      <c r="D777" s="120">
        <v>0.4</v>
      </c>
      <c r="E777" s="235">
        <v>1</v>
      </c>
      <c r="F777" s="254">
        <v>15</v>
      </c>
      <c r="G777" s="244">
        <v>25.932359999999999</v>
      </c>
      <c r="L777" s="15"/>
    </row>
    <row r="778" spans="1:12" ht="29.25" customHeight="1" x14ac:dyDescent="0.25">
      <c r="A778" s="251" t="s">
        <v>784</v>
      </c>
      <c r="B778" s="257" t="s">
        <v>872</v>
      </c>
      <c r="C778" s="187">
        <v>2023</v>
      </c>
      <c r="D778" s="120">
        <v>0.4</v>
      </c>
      <c r="E778" s="235">
        <v>1</v>
      </c>
      <c r="F778" s="254">
        <v>5</v>
      </c>
      <c r="G778" s="244">
        <v>23.730630000000001</v>
      </c>
      <c r="L778" s="15"/>
    </row>
    <row r="779" spans="1:12" ht="29.25" customHeight="1" x14ac:dyDescent="0.25">
      <c r="A779" s="251" t="s">
        <v>784</v>
      </c>
      <c r="B779" s="257" t="s">
        <v>873</v>
      </c>
      <c r="C779" s="187">
        <v>2023</v>
      </c>
      <c r="D779" s="120">
        <v>0.4</v>
      </c>
      <c r="E779" s="235">
        <v>1</v>
      </c>
      <c r="F779" s="254">
        <v>5</v>
      </c>
      <c r="G779" s="244">
        <v>23.541119999999999</v>
      </c>
      <c r="L779" s="15"/>
    </row>
    <row r="780" spans="1:12" ht="29.25" customHeight="1" x14ac:dyDescent="0.25">
      <c r="A780" s="251" t="s">
        <v>785</v>
      </c>
      <c r="B780" s="257" t="s">
        <v>874</v>
      </c>
      <c r="C780" s="187">
        <v>2023</v>
      </c>
      <c r="D780" s="120">
        <v>0.4</v>
      </c>
      <c r="E780" s="235">
        <v>1</v>
      </c>
      <c r="F780" s="254">
        <v>15</v>
      </c>
      <c r="G780" s="244">
        <v>31.65765</v>
      </c>
      <c r="L780" s="15"/>
    </row>
    <row r="781" spans="1:12" ht="29.25" customHeight="1" x14ac:dyDescent="0.25">
      <c r="A781" s="251" t="s">
        <v>784</v>
      </c>
      <c r="B781" s="257" t="s">
        <v>875</v>
      </c>
      <c r="C781" s="187">
        <v>2023</v>
      </c>
      <c r="D781" s="120">
        <v>0.4</v>
      </c>
      <c r="E781" s="235">
        <v>1</v>
      </c>
      <c r="F781" s="254">
        <v>5</v>
      </c>
      <c r="G781" s="244">
        <v>13.287520000000001</v>
      </c>
      <c r="L781" s="15"/>
    </row>
    <row r="782" spans="1:12" ht="29.25" customHeight="1" x14ac:dyDescent="0.25">
      <c r="A782" s="251" t="s">
        <v>785</v>
      </c>
      <c r="B782" s="257" t="s">
        <v>876</v>
      </c>
      <c r="C782" s="187">
        <v>2023</v>
      </c>
      <c r="D782" s="120">
        <v>0.4</v>
      </c>
      <c r="E782" s="235">
        <v>1</v>
      </c>
      <c r="F782" s="254">
        <v>15</v>
      </c>
      <c r="G782" s="244">
        <v>24.842169999999999</v>
      </c>
      <c r="L782" s="15"/>
    </row>
    <row r="783" spans="1:12" ht="29.25" customHeight="1" x14ac:dyDescent="0.25">
      <c r="A783" s="251" t="s">
        <v>785</v>
      </c>
      <c r="B783" s="257" t="s">
        <v>877</v>
      </c>
      <c r="C783" s="187">
        <v>2023</v>
      </c>
      <c r="D783" s="120">
        <v>0.4</v>
      </c>
      <c r="E783" s="235">
        <v>1</v>
      </c>
      <c r="F783" s="254">
        <v>15</v>
      </c>
      <c r="G783" s="244">
        <v>33.906790000000001</v>
      </c>
      <c r="L783" s="15"/>
    </row>
    <row r="784" spans="1:12" ht="29.25" customHeight="1" x14ac:dyDescent="0.25">
      <c r="A784" s="251" t="s">
        <v>785</v>
      </c>
      <c r="B784" s="257" t="s">
        <v>878</v>
      </c>
      <c r="C784" s="187">
        <v>2023</v>
      </c>
      <c r="D784" s="120">
        <v>0.4</v>
      </c>
      <c r="E784" s="235">
        <v>1</v>
      </c>
      <c r="F784" s="254">
        <v>15</v>
      </c>
      <c r="G784" s="244">
        <v>34.348489999999998</v>
      </c>
      <c r="L784" s="15"/>
    </row>
    <row r="785" spans="1:12" ht="29.25" customHeight="1" x14ac:dyDescent="0.25">
      <c r="A785" s="251" t="s">
        <v>784</v>
      </c>
      <c r="B785" s="257" t="s">
        <v>879</v>
      </c>
      <c r="C785" s="187">
        <v>2023</v>
      </c>
      <c r="D785" s="120">
        <v>0.4</v>
      </c>
      <c r="E785" s="235">
        <v>1</v>
      </c>
      <c r="F785" s="254">
        <v>5</v>
      </c>
      <c r="G785" s="244">
        <v>26.624860000000002</v>
      </c>
      <c r="L785" s="15"/>
    </row>
    <row r="786" spans="1:12" ht="29.25" customHeight="1" x14ac:dyDescent="0.25">
      <c r="A786" s="251" t="s">
        <v>784</v>
      </c>
      <c r="B786" s="257" t="s">
        <v>880</v>
      </c>
      <c r="C786" s="187">
        <v>2023</v>
      </c>
      <c r="D786" s="120">
        <v>0.4</v>
      </c>
      <c r="E786" s="235">
        <v>1</v>
      </c>
      <c r="F786" s="254">
        <v>5</v>
      </c>
      <c r="G786" s="244">
        <v>26.624860000000002</v>
      </c>
      <c r="L786" s="15"/>
    </row>
    <row r="787" spans="1:12" ht="29.25" customHeight="1" x14ac:dyDescent="0.25">
      <c r="A787" s="251" t="s">
        <v>784</v>
      </c>
      <c r="B787" s="257" t="s">
        <v>881</v>
      </c>
      <c r="C787" s="187">
        <v>2023</v>
      </c>
      <c r="D787" s="120">
        <v>0.4</v>
      </c>
      <c r="E787" s="235">
        <v>1</v>
      </c>
      <c r="F787" s="254">
        <v>5</v>
      </c>
      <c r="G787" s="244">
        <v>26.624860000000002</v>
      </c>
      <c r="L787" s="15"/>
    </row>
    <row r="788" spans="1:12" ht="29.25" customHeight="1" x14ac:dyDescent="0.25">
      <c r="A788" s="251" t="s">
        <v>784</v>
      </c>
      <c r="B788" s="257" t="s">
        <v>882</v>
      </c>
      <c r="C788" s="187">
        <v>2023</v>
      </c>
      <c r="D788" s="120">
        <v>0.4</v>
      </c>
      <c r="E788" s="235">
        <v>1</v>
      </c>
      <c r="F788" s="254">
        <v>5</v>
      </c>
      <c r="G788" s="244">
        <v>26.624860000000002</v>
      </c>
      <c r="L788" s="15"/>
    </row>
    <row r="789" spans="1:12" ht="29.25" customHeight="1" x14ac:dyDescent="0.25">
      <c r="A789" s="251" t="s">
        <v>784</v>
      </c>
      <c r="B789" s="257" t="s">
        <v>883</v>
      </c>
      <c r="C789" s="187">
        <v>2023</v>
      </c>
      <c r="D789" s="120">
        <v>0.4</v>
      </c>
      <c r="E789" s="235">
        <v>1</v>
      </c>
      <c r="F789" s="254">
        <v>5</v>
      </c>
      <c r="G789" s="244">
        <v>26.624860000000002</v>
      </c>
      <c r="L789" s="15"/>
    </row>
    <row r="790" spans="1:12" ht="29.25" customHeight="1" x14ac:dyDescent="0.25">
      <c r="A790" s="251" t="s">
        <v>784</v>
      </c>
      <c r="B790" s="257" t="s">
        <v>884</v>
      </c>
      <c r="C790" s="187">
        <v>2023</v>
      </c>
      <c r="D790" s="120">
        <v>0.4</v>
      </c>
      <c r="E790" s="235">
        <v>1</v>
      </c>
      <c r="F790" s="254">
        <v>5</v>
      </c>
      <c r="G790" s="109">
        <v>23.36271</v>
      </c>
      <c r="L790" s="15"/>
    </row>
    <row r="791" spans="1:12" ht="29.25" customHeight="1" x14ac:dyDescent="0.25">
      <c r="A791" s="251" t="s">
        <v>785</v>
      </c>
      <c r="B791" s="258" t="s">
        <v>885</v>
      </c>
      <c r="C791" s="187">
        <v>2023</v>
      </c>
      <c r="D791" s="120">
        <v>0.4</v>
      </c>
      <c r="E791" s="235">
        <v>1</v>
      </c>
      <c r="F791" s="254">
        <v>15</v>
      </c>
      <c r="G791" s="109">
        <v>31.531179999999999</v>
      </c>
      <c r="L791" s="15"/>
    </row>
    <row r="792" spans="1:12" ht="29.25" customHeight="1" x14ac:dyDescent="0.25">
      <c r="A792" s="251" t="s">
        <v>785</v>
      </c>
      <c r="B792" s="257" t="s">
        <v>886</v>
      </c>
      <c r="C792" s="187">
        <v>2023</v>
      </c>
      <c r="D792" s="120">
        <v>0.4</v>
      </c>
      <c r="E792" s="235">
        <v>1</v>
      </c>
      <c r="F792" s="224">
        <v>15</v>
      </c>
      <c r="G792" s="246">
        <v>27.621479999999998</v>
      </c>
      <c r="L792" s="15"/>
    </row>
    <row r="793" spans="1:12" ht="29.25" customHeight="1" x14ac:dyDescent="0.25">
      <c r="A793" s="251" t="s">
        <v>784</v>
      </c>
      <c r="B793" s="257" t="s">
        <v>887</v>
      </c>
      <c r="C793" s="187">
        <v>2023</v>
      </c>
      <c r="D793" s="120">
        <v>0.4</v>
      </c>
      <c r="E793" s="235">
        <v>1</v>
      </c>
      <c r="F793" s="224">
        <v>5</v>
      </c>
      <c r="G793" s="246">
        <v>24.00385</v>
      </c>
      <c r="L793" s="15"/>
    </row>
    <row r="794" spans="1:12" ht="29.25" customHeight="1" x14ac:dyDescent="0.25">
      <c r="A794" s="251" t="s">
        <v>785</v>
      </c>
      <c r="B794" s="257" t="s">
        <v>888</v>
      </c>
      <c r="C794" s="187">
        <v>2023</v>
      </c>
      <c r="D794" s="120">
        <v>0.4</v>
      </c>
      <c r="E794" s="235">
        <v>1</v>
      </c>
      <c r="F794" s="224">
        <v>15</v>
      </c>
      <c r="G794" s="246">
        <v>34.521509999999999</v>
      </c>
      <c r="L794" s="15"/>
    </row>
    <row r="795" spans="1:12" ht="29.25" customHeight="1" x14ac:dyDescent="0.25">
      <c r="A795" s="251" t="s">
        <v>784</v>
      </c>
      <c r="B795" s="257" t="s">
        <v>889</v>
      </c>
      <c r="C795" s="187">
        <v>2023</v>
      </c>
      <c r="D795" s="120">
        <v>0.4</v>
      </c>
      <c r="E795" s="235">
        <v>1</v>
      </c>
      <c r="F795" s="224">
        <v>5</v>
      </c>
      <c r="G795" s="247">
        <v>12.61481</v>
      </c>
      <c r="L795" s="15"/>
    </row>
    <row r="796" spans="1:12" ht="29.25" customHeight="1" x14ac:dyDescent="0.25">
      <c r="A796" s="251" t="s">
        <v>785</v>
      </c>
      <c r="B796" s="257" t="s">
        <v>890</v>
      </c>
      <c r="C796" s="187">
        <v>2023</v>
      </c>
      <c r="D796" s="120">
        <v>0.4</v>
      </c>
      <c r="E796" s="235">
        <v>1</v>
      </c>
      <c r="F796" s="224">
        <v>15</v>
      </c>
      <c r="G796" s="247">
        <v>26.03584</v>
      </c>
      <c r="L796" s="15"/>
    </row>
    <row r="797" spans="1:12" ht="29.25" customHeight="1" x14ac:dyDescent="0.25">
      <c r="A797" s="251" t="s">
        <v>784</v>
      </c>
      <c r="B797" s="257" t="s">
        <v>891</v>
      </c>
      <c r="C797" s="187">
        <v>2023</v>
      </c>
      <c r="D797" s="120">
        <v>0.4</v>
      </c>
      <c r="E797" s="235">
        <v>1</v>
      </c>
      <c r="F797" s="224">
        <v>5</v>
      </c>
      <c r="G797" s="247">
        <v>26.984819999999999</v>
      </c>
      <c r="L797" s="15"/>
    </row>
    <row r="798" spans="1:12" ht="29.25" customHeight="1" x14ac:dyDescent="0.25">
      <c r="A798" s="251" t="s">
        <v>785</v>
      </c>
      <c r="B798" s="257" t="s">
        <v>892</v>
      </c>
      <c r="C798" s="187">
        <v>2023</v>
      </c>
      <c r="D798" s="120">
        <v>0.4</v>
      </c>
      <c r="E798" s="235">
        <v>1</v>
      </c>
      <c r="F798" s="224">
        <v>15</v>
      </c>
      <c r="G798" s="247">
        <v>46.719760000000001</v>
      </c>
      <c r="L798" s="15"/>
    </row>
    <row r="799" spans="1:12" ht="29.25" customHeight="1" x14ac:dyDescent="0.25">
      <c r="A799" s="251" t="s">
        <v>785</v>
      </c>
      <c r="B799" s="257" t="s">
        <v>893</v>
      </c>
      <c r="C799" s="187">
        <v>2023</v>
      </c>
      <c r="D799" s="120">
        <v>0.4</v>
      </c>
      <c r="E799" s="235">
        <v>1</v>
      </c>
      <c r="F799" s="224">
        <v>15</v>
      </c>
      <c r="G799" s="247">
        <v>34.28669</v>
      </c>
      <c r="L799" s="15"/>
    </row>
    <row r="800" spans="1:12" ht="29.25" customHeight="1" x14ac:dyDescent="0.25">
      <c r="A800" s="251" t="s">
        <v>785</v>
      </c>
      <c r="B800" s="259" t="s">
        <v>894</v>
      </c>
      <c r="C800" s="187">
        <v>2023</v>
      </c>
      <c r="D800" s="120">
        <v>0.4</v>
      </c>
      <c r="E800" s="235">
        <v>1</v>
      </c>
      <c r="F800" s="254">
        <v>12</v>
      </c>
      <c r="G800" s="247">
        <v>34.459710000000001</v>
      </c>
      <c r="L800" s="15"/>
    </row>
    <row r="801" spans="1:12" ht="29.25" customHeight="1" x14ac:dyDescent="0.25">
      <c r="A801" s="251" t="s">
        <v>785</v>
      </c>
      <c r="B801" s="260" t="s">
        <v>895</v>
      </c>
      <c r="C801" s="187">
        <v>2023</v>
      </c>
      <c r="D801" s="120">
        <v>0.4</v>
      </c>
      <c r="E801" s="235">
        <v>1</v>
      </c>
      <c r="F801" s="254">
        <v>15</v>
      </c>
      <c r="G801" s="247">
        <v>34.397910000000003</v>
      </c>
      <c r="L801" s="15"/>
    </row>
    <row r="802" spans="1:12" ht="29.25" customHeight="1" x14ac:dyDescent="0.25">
      <c r="A802" s="251" t="s">
        <v>784</v>
      </c>
      <c r="B802" s="260" t="s">
        <v>896</v>
      </c>
      <c r="C802" s="187">
        <v>2023</v>
      </c>
      <c r="D802" s="120">
        <v>0.4</v>
      </c>
      <c r="E802" s="235">
        <v>1</v>
      </c>
      <c r="F802" s="254">
        <v>5</v>
      </c>
      <c r="G802" s="247">
        <v>12.73203</v>
      </c>
      <c r="L802" s="15"/>
    </row>
    <row r="803" spans="1:12" ht="29.25" customHeight="1" x14ac:dyDescent="0.25">
      <c r="A803" s="251" t="s">
        <v>784</v>
      </c>
      <c r="B803" s="260" t="s">
        <v>897</v>
      </c>
      <c r="C803" s="187">
        <v>2023</v>
      </c>
      <c r="D803" s="120">
        <v>0.4</v>
      </c>
      <c r="E803" s="235">
        <v>1</v>
      </c>
      <c r="F803" s="254">
        <v>5</v>
      </c>
      <c r="G803" s="247">
        <v>26.533930000000002</v>
      </c>
      <c r="L803" s="15"/>
    </row>
    <row r="804" spans="1:12" ht="29.25" customHeight="1" x14ac:dyDescent="0.25">
      <c r="A804" s="251" t="s">
        <v>784</v>
      </c>
      <c r="B804" s="260" t="s">
        <v>898</v>
      </c>
      <c r="C804" s="187">
        <v>2023</v>
      </c>
      <c r="D804" s="120">
        <v>0.4</v>
      </c>
      <c r="E804" s="235">
        <v>1</v>
      </c>
      <c r="F804" s="254">
        <v>5</v>
      </c>
      <c r="G804" s="247">
        <v>26.68045</v>
      </c>
      <c r="L804" s="15"/>
    </row>
    <row r="805" spans="1:12" ht="29.25" customHeight="1" x14ac:dyDescent="0.25">
      <c r="A805" s="251" t="s">
        <v>785</v>
      </c>
      <c r="B805" s="260" t="s">
        <v>899</v>
      </c>
      <c r="C805" s="187">
        <v>2023</v>
      </c>
      <c r="D805" s="120">
        <v>0.4</v>
      </c>
      <c r="E805" s="235">
        <v>1</v>
      </c>
      <c r="F805" s="254">
        <v>15</v>
      </c>
      <c r="G805" s="247">
        <v>26.931270000000001</v>
      </c>
      <c r="L805" s="15"/>
    </row>
    <row r="806" spans="1:12" ht="29.25" customHeight="1" x14ac:dyDescent="0.25">
      <c r="A806" s="251" t="s">
        <v>784</v>
      </c>
      <c r="B806" s="260" t="s">
        <v>900</v>
      </c>
      <c r="C806" s="187">
        <v>2023</v>
      </c>
      <c r="D806" s="120">
        <v>0.4</v>
      </c>
      <c r="E806" s="235">
        <v>1</v>
      </c>
      <c r="F806" s="254">
        <v>5</v>
      </c>
      <c r="G806" s="247">
        <v>23.730630000000001</v>
      </c>
      <c r="L806" s="15"/>
    </row>
    <row r="807" spans="1:12" ht="29.25" customHeight="1" x14ac:dyDescent="0.25">
      <c r="A807" s="251" t="s">
        <v>785</v>
      </c>
      <c r="B807" s="260" t="s">
        <v>901</v>
      </c>
      <c r="C807" s="187">
        <v>2023</v>
      </c>
      <c r="D807" s="120">
        <v>0.4</v>
      </c>
      <c r="E807" s="235">
        <v>1</v>
      </c>
      <c r="F807" s="254">
        <v>15</v>
      </c>
      <c r="G807" s="247">
        <v>24.728470000000002</v>
      </c>
      <c r="L807" s="15"/>
    </row>
    <row r="808" spans="1:12" ht="29.25" customHeight="1" x14ac:dyDescent="0.25">
      <c r="A808" s="251" t="s">
        <v>785</v>
      </c>
      <c r="B808" s="260" t="s">
        <v>902</v>
      </c>
      <c r="C808" s="187">
        <v>2023</v>
      </c>
      <c r="D808" s="120">
        <v>0.4</v>
      </c>
      <c r="E808" s="235">
        <v>1</v>
      </c>
      <c r="F808" s="254">
        <v>15</v>
      </c>
      <c r="G808" s="247">
        <v>9.1643999999999988</v>
      </c>
      <c r="L808" s="15"/>
    </row>
    <row r="809" spans="1:12" ht="29.25" customHeight="1" x14ac:dyDescent="0.25">
      <c r="A809" s="251" t="s">
        <v>785</v>
      </c>
      <c r="B809" s="260" t="s">
        <v>903</v>
      </c>
      <c r="C809" s="187">
        <v>2023</v>
      </c>
      <c r="D809" s="120">
        <v>0.4</v>
      </c>
      <c r="E809" s="235">
        <v>1</v>
      </c>
      <c r="F809" s="254">
        <v>15</v>
      </c>
      <c r="G809" s="247">
        <v>35.168030000000002</v>
      </c>
      <c r="L809" s="15"/>
    </row>
    <row r="810" spans="1:12" ht="29.25" customHeight="1" x14ac:dyDescent="0.25">
      <c r="A810" s="251" t="s">
        <v>784</v>
      </c>
      <c r="B810" s="260" t="s">
        <v>904</v>
      </c>
      <c r="C810" s="187">
        <v>2023</v>
      </c>
      <c r="D810" s="120">
        <v>0.4</v>
      </c>
      <c r="E810" s="235">
        <v>1</v>
      </c>
      <c r="F810" s="254">
        <v>5</v>
      </c>
      <c r="G810" s="247">
        <v>23.60445</v>
      </c>
      <c r="L810" s="15"/>
    </row>
    <row r="811" spans="1:12" ht="29.25" customHeight="1" x14ac:dyDescent="0.25">
      <c r="A811" s="251" t="s">
        <v>784</v>
      </c>
      <c r="B811" s="260" t="s">
        <v>905</v>
      </c>
      <c r="C811" s="187">
        <v>2023</v>
      </c>
      <c r="D811" s="120">
        <v>0.4</v>
      </c>
      <c r="E811" s="235">
        <v>1</v>
      </c>
      <c r="F811" s="254">
        <v>5</v>
      </c>
      <c r="G811" s="247">
        <v>26.44988</v>
      </c>
      <c r="L811" s="15"/>
    </row>
    <row r="812" spans="1:12" ht="29.25" customHeight="1" x14ac:dyDescent="0.25">
      <c r="A812" s="251" t="s">
        <v>784</v>
      </c>
      <c r="B812" s="260" t="s">
        <v>906</v>
      </c>
      <c r="C812" s="187">
        <v>2023</v>
      </c>
      <c r="D812" s="120">
        <v>0.4</v>
      </c>
      <c r="E812" s="235">
        <v>1</v>
      </c>
      <c r="F812" s="254">
        <v>5</v>
      </c>
      <c r="G812" s="247">
        <v>13.15953</v>
      </c>
      <c r="L812" s="15"/>
    </row>
    <row r="813" spans="1:12" ht="29.25" customHeight="1" x14ac:dyDescent="0.25">
      <c r="A813" s="251" t="s">
        <v>784</v>
      </c>
      <c r="B813" s="260" t="s">
        <v>907</v>
      </c>
      <c r="C813" s="187">
        <v>2023</v>
      </c>
      <c r="D813" s="120">
        <v>0.4</v>
      </c>
      <c r="E813" s="235">
        <v>1</v>
      </c>
      <c r="F813" s="254">
        <v>5</v>
      </c>
      <c r="G813" s="247">
        <v>23.63269</v>
      </c>
      <c r="L813" s="15"/>
    </row>
    <row r="814" spans="1:12" ht="29.25" customHeight="1" x14ac:dyDescent="0.25">
      <c r="A814" s="251" t="s">
        <v>784</v>
      </c>
      <c r="B814" s="260" t="s">
        <v>908</v>
      </c>
      <c r="C814" s="187">
        <v>2023</v>
      </c>
      <c r="D814" s="120">
        <v>0.4</v>
      </c>
      <c r="E814" s="235">
        <v>1</v>
      </c>
      <c r="F814" s="254">
        <v>5</v>
      </c>
      <c r="G814" s="247">
        <v>23.541119999999999</v>
      </c>
      <c r="L814" s="15"/>
    </row>
    <row r="815" spans="1:12" ht="29.25" customHeight="1" x14ac:dyDescent="0.25">
      <c r="A815" s="251" t="s">
        <v>784</v>
      </c>
      <c r="B815" s="260" t="s">
        <v>909</v>
      </c>
      <c r="C815" s="187">
        <v>2023</v>
      </c>
      <c r="D815" s="120">
        <v>0.4</v>
      </c>
      <c r="E815" s="235">
        <v>1</v>
      </c>
      <c r="F815" s="254">
        <v>5</v>
      </c>
      <c r="G815" s="247">
        <v>12.827860000000001</v>
      </c>
      <c r="L815" s="15"/>
    </row>
    <row r="816" spans="1:12" ht="29.25" customHeight="1" x14ac:dyDescent="0.25">
      <c r="A816" s="251" t="s">
        <v>785</v>
      </c>
      <c r="B816" s="260" t="s">
        <v>910</v>
      </c>
      <c r="C816" s="187">
        <v>2023</v>
      </c>
      <c r="D816" s="120">
        <v>0.4</v>
      </c>
      <c r="E816" s="235">
        <v>1</v>
      </c>
      <c r="F816" s="254">
        <v>15</v>
      </c>
      <c r="G816" s="247">
        <v>31.531179999999999</v>
      </c>
      <c r="L816" s="15"/>
    </row>
    <row r="817" spans="1:12" ht="29.25" customHeight="1" x14ac:dyDescent="0.25">
      <c r="A817" s="251" t="s">
        <v>785</v>
      </c>
      <c r="B817" s="260" t="s">
        <v>911</v>
      </c>
      <c r="C817" s="187">
        <v>2023</v>
      </c>
      <c r="D817" s="120">
        <v>0.4</v>
      </c>
      <c r="E817" s="235">
        <v>1</v>
      </c>
      <c r="F817" s="254">
        <v>15</v>
      </c>
      <c r="G817" s="247">
        <v>31.531179999999999</v>
      </c>
      <c r="L817" s="15"/>
    </row>
    <row r="818" spans="1:12" ht="29.25" customHeight="1" x14ac:dyDescent="0.25">
      <c r="A818" s="251" t="s">
        <v>784</v>
      </c>
      <c r="B818" s="260" t="s">
        <v>912</v>
      </c>
      <c r="C818" s="187">
        <v>2023</v>
      </c>
      <c r="D818" s="120">
        <v>0.4</v>
      </c>
      <c r="E818" s="235">
        <v>1</v>
      </c>
      <c r="F818" s="254">
        <v>5</v>
      </c>
      <c r="G818" s="247">
        <v>26.95337</v>
      </c>
      <c r="L818" s="15"/>
    </row>
    <row r="819" spans="1:12" ht="29.25" customHeight="1" x14ac:dyDescent="0.25">
      <c r="A819" s="251" t="s">
        <v>784</v>
      </c>
      <c r="B819" s="260" t="s">
        <v>913</v>
      </c>
      <c r="C819" s="187">
        <v>2023</v>
      </c>
      <c r="D819" s="120">
        <v>0.4</v>
      </c>
      <c r="E819" s="235">
        <v>1</v>
      </c>
      <c r="F819" s="254">
        <v>5</v>
      </c>
      <c r="G819" s="247">
        <v>26.869319999999998</v>
      </c>
      <c r="L819" s="15"/>
    </row>
    <row r="820" spans="1:12" ht="29.25" customHeight="1" x14ac:dyDescent="0.25">
      <c r="A820" s="251" t="s">
        <v>785</v>
      </c>
      <c r="B820" s="260" t="s">
        <v>914</v>
      </c>
      <c r="C820" s="187">
        <v>2023</v>
      </c>
      <c r="D820" s="120">
        <v>0.4</v>
      </c>
      <c r="E820" s="235">
        <v>1</v>
      </c>
      <c r="F820" s="254">
        <v>15</v>
      </c>
      <c r="G820" s="247">
        <v>24.36157</v>
      </c>
      <c r="L820" s="15"/>
    </row>
    <row r="821" spans="1:12" ht="29.25" customHeight="1" x14ac:dyDescent="0.25">
      <c r="A821" s="251" t="s">
        <v>785</v>
      </c>
      <c r="B821" s="260" t="s">
        <v>915</v>
      </c>
      <c r="C821" s="187">
        <v>2023</v>
      </c>
      <c r="D821" s="120">
        <v>0.4</v>
      </c>
      <c r="E821" s="235">
        <v>1</v>
      </c>
      <c r="F821" s="254">
        <v>15</v>
      </c>
      <c r="G821" s="247">
        <v>24.62998</v>
      </c>
      <c r="L821" s="15"/>
    </row>
    <row r="822" spans="1:12" ht="29.25" customHeight="1" x14ac:dyDescent="0.25">
      <c r="A822" s="251" t="s">
        <v>784</v>
      </c>
      <c r="B822" s="260" t="s">
        <v>916</v>
      </c>
      <c r="C822" s="187">
        <v>2023</v>
      </c>
      <c r="D822" s="120">
        <v>0.4</v>
      </c>
      <c r="E822" s="235">
        <v>1</v>
      </c>
      <c r="F822" s="254">
        <v>5</v>
      </c>
      <c r="G822" s="247">
        <v>12.70748</v>
      </c>
      <c r="L822" s="15"/>
    </row>
    <row r="823" spans="1:12" ht="29.25" customHeight="1" x14ac:dyDescent="0.25">
      <c r="A823" s="251" t="s">
        <v>785</v>
      </c>
      <c r="B823" s="260" t="s">
        <v>917</v>
      </c>
      <c r="C823" s="187">
        <v>2023</v>
      </c>
      <c r="D823" s="120">
        <v>0.4</v>
      </c>
      <c r="E823" s="235">
        <v>1</v>
      </c>
      <c r="F823" s="254">
        <v>15</v>
      </c>
      <c r="G823" s="247">
        <v>25.211269999999999</v>
      </c>
      <c r="L823" s="15"/>
    </row>
    <row r="824" spans="1:12" ht="29.25" customHeight="1" x14ac:dyDescent="0.25">
      <c r="A824" s="251" t="s">
        <v>785</v>
      </c>
      <c r="B824" s="260" t="s">
        <v>918</v>
      </c>
      <c r="C824" s="187">
        <v>2023</v>
      </c>
      <c r="D824" s="120">
        <v>0.4</v>
      </c>
      <c r="E824" s="235">
        <v>1</v>
      </c>
      <c r="F824" s="254">
        <v>15</v>
      </c>
      <c r="G824" s="247">
        <v>31.59451</v>
      </c>
      <c r="L824" s="15"/>
    </row>
    <row r="825" spans="1:12" ht="29.25" customHeight="1" x14ac:dyDescent="0.25">
      <c r="A825" s="251" t="s">
        <v>784</v>
      </c>
      <c r="B825" s="260" t="s">
        <v>919</v>
      </c>
      <c r="C825" s="187">
        <v>2023</v>
      </c>
      <c r="D825" s="120">
        <v>0.4</v>
      </c>
      <c r="E825" s="235">
        <v>1</v>
      </c>
      <c r="F825" s="254">
        <v>5</v>
      </c>
      <c r="G825" s="247">
        <v>23.759349999999998</v>
      </c>
      <c r="L825" s="15"/>
    </row>
    <row r="826" spans="1:12" ht="29.25" customHeight="1" x14ac:dyDescent="0.25">
      <c r="A826" s="251" t="s">
        <v>784</v>
      </c>
      <c r="B826" s="260" t="s">
        <v>920</v>
      </c>
      <c r="C826" s="187">
        <v>2023</v>
      </c>
      <c r="D826" s="120">
        <v>0.4</v>
      </c>
      <c r="E826" s="235">
        <v>1</v>
      </c>
      <c r="F826" s="254">
        <v>2.5</v>
      </c>
      <c r="G826" s="247">
        <v>6.06236</v>
      </c>
      <c r="L826" s="15"/>
    </row>
    <row r="827" spans="1:12" ht="29.25" customHeight="1" x14ac:dyDescent="0.25">
      <c r="A827" s="251" t="s">
        <v>784</v>
      </c>
      <c r="B827" s="260" t="s">
        <v>921</v>
      </c>
      <c r="C827" s="187">
        <v>2023</v>
      </c>
      <c r="D827" s="120">
        <v>0.4</v>
      </c>
      <c r="E827" s="235">
        <v>1</v>
      </c>
      <c r="F827" s="254">
        <v>5</v>
      </c>
      <c r="G827" s="247">
        <v>28.286990000000003</v>
      </c>
      <c r="L827" s="15"/>
    </row>
    <row r="828" spans="1:12" ht="29.25" customHeight="1" x14ac:dyDescent="0.25">
      <c r="A828" s="251" t="s">
        <v>785</v>
      </c>
      <c r="B828" s="260" t="s">
        <v>922</v>
      </c>
      <c r="C828" s="187">
        <v>2023</v>
      </c>
      <c r="D828" s="120">
        <v>0.4</v>
      </c>
      <c r="E828" s="235">
        <v>1</v>
      </c>
      <c r="F828" s="254">
        <v>15</v>
      </c>
      <c r="G828" s="247">
        <v>34.613250000000001</v>
      </c>
      <c r="L828" s="15"/>
    </row>
    <row r="829" spans="1:12" ht="29.25" customHeight="1" x14ac:dyDescent="0.25">
      <c r="A829" s="251" t="s">
        <v>784</v>
      </c>
      <c r="B829" s="260" t="s">
        <v>923</v>
      </c>
      <c r="C829" s="187">
        <v>2023</v>
      </c>
      <c r="D829" s="120">
        <v>0.4</v>
      </c>
      <c r="E829" s="235">
        <v>1</v>
      </c>
      <c r="F829" s="254">
        <v>5</v>
      </c>
      <c r="G829" s="247">
        <v>12.711079999999999</v>
      </c>
      <c r="L829" s="15"/>
    </row>
    <row r="830" spans="1:12" ht="29.25" customHeight="1" x14ac:dyDescent="0.25">
      <c r="A830" s="251" t="s">
        <v>784</v>
      </c>
      <c r="B830" s="260" t="s">
        <v>924</v>
      </c>
      <c r="C830" s="187">
        <v>2023</v>
      </c>
      <c r="D830" s="120">
        <v>0.4</v>
      </c>
      <c r="E830" s="235">
        <v>1</v>
      </c>
      <c r="F830" s="254">
        <v>5</v>
      </c>
      <c r="G830" s="247">
        <v>26.80031</v>
      </c>
      <c r="L830" s="15"/>
    </row>
    <row r="831" spans="1:12" ht="29.25" customHeight="1" x14ac:dyDescent="0.25">
      <c r="A831" s="251" t="s">
        <v>784</v>
      </c>
      <c r="B831" s="260" t="s">
        <v>925</v>
      </c>
      <c r="C831" s="187">
        <v>2023</v>
      </c>
      <c r="D831" s="120">
        <v>0.4</v>
      </c>
      <c r="E831" s="235">
        <v>1</v>
      </c>
      <c r="F831" s="254">
        <v>5</v>
      </c>
      <c r="G831" s="247">
        <v>12.73203</v>
      </c>
      <c r="L831" s="15"/>
    </row>
    <row r="832" spans="1:12" ht="29.25" customHeight="1" x14ac:dyDescent="0.25">
      <c r="A832" s="251" t="s">
        <v>785</v>
      </c>
      <c r="B832" s="260" t="s">
        <v>926</v>
      </c>
      <c r="C832" s="187">
        <v>2023</v>
      </c>
      <c r="D832" s="120">
        <v>0.4</v>
      </c>
      <c r="E832" s="235">
        <v>1</v>
      </c>
      <c r="F832" s="254">
        <v>15</v>
      </c>
      <c r="G832" s="247">
        <v>25.10594</v>
      </c>
      <c r="L832" s="15"/>
    </row>
    <row r="833" spans="1:12" ht="29.25" customHeight="1" x14ac:dyDescent="0.25">
      <c r="A833" s="251" t="s">
        <v>784</v>
      </c>
      <c r="B833" s="260" t="s">
        <v>927</v>
      </c>
      <c r="C833" s="187">
        <v>2023</v>
      </c>
      <c r="D833" s="120">
        <v>0.4</v>
      </c>
      <c r="E833" s="235">
        <v>1</v>
      </c>
      <c r="F833" s="254">
        <v>5</v>
      </c>
      <c r="G833" s="247">
        <v>12.870790000000001</v>
      </c>
      <c r="L833" s="15"/>
    </row>
    <row r="834" spans="1:12" ht="29.25" customHeight="1" x14ac:dyDescent="0.25">
      <c r="A834" s="251" t="s">
        <v>784</v>
      </c>
      <c r="B834" s="260" t="s">
        <v>928</v>
      </c>
      <c r="C834" s="187">
        <v>2023</v>
      </c>
      <c r="D834" s="120">
        <v>0.4</v>
      </c>
      <c r="E834" s="235">
        <v>1</v>
      </c>
      <c r="F834" s="254">
        <v>5</v>
      </c>
      <c r="G834" s="247">
        <v>12.870790000000001</v>
      </c>
      <c r="L834" s="15"/>
    </row>
    <row r="835" spans="1:12" ht="29.25" customHeight="1" x14ac:dyDescent="0.25">
      <c r="A835" s="251" t="s">
        <v>784</v>
      </c>
      <c r="B835" s="260" t="s">
        <v>929</v>
      </c>
      <c r="C835" s="187">
        <v>2023</v>
      </c>
      <c r="D835" s="120">
        <v>0.4</v>
      </c>
      <c r="E835" s="235">
        <v>1</v>
      </c>
      <c r="F835" s="254">
        <v>5</v>
      </c>
      <c r="G835" s="247">
        <v>13.308959999999999</v>
      </c>
      <c r="L835" s="15"/>
    </row>
    <row r="836" spans="1:12" ht="29.25" customHeight="1" x14ac:dyDescent="0.25">
      <c r="A836" s="251" t="s">
        <v>784</v>
      </c>
      <c r="B836" s="260" t="s">
        <v>930</v>
      </c>
      <c r="C836" s="187">
        <v>2023</v>
      </c>
      <c r="D836" s="120">
        <v>0.4</v>
      </c>
      <c r="E836" s="235">
        <v>1</v>
      </c>
      <c r="F836" s="254">
        <v>5</v>
      </c>
      <c r="G836" s="247">
        <v>26.728240000000003</v>
      </c>
      <c r="L836" s="15"/>
    </row>
    <row r="837" spans="1:12" ht="29.25" customHeight="1" x14ac:dyDescent="0.25">
      <c r="A837" s="251" t="s">
        <v>784</v>
      </c>
      <c r="B837" s="260" t="s">
        <v>931</v>
      </c>
      <c r="C837" s="187">
        <v>2023</v>
      </c>
      <c r="D837" s="120">
        <v>0.4</v>
      </c>
      <c r="E837" s="235">
        <v>1</v>
      </c>
      <c r="F837" s="254">
        <v>5</v>
      </c>
      <c r="G837" s="247">
        <v>26.869330000000001</v>
      </c>
      <c r="L837" s="15"/>
    </row>
    <row r="838" spans="1:12" ht="29.25" customHeight="1" x14ac:dyDescent="0.25">
      <c r="A838" s="251" t="s">
        <v>784</v>
      </c>
      <c r="B838" s="260" t="s">
        <v>932</v>
      </c>
      <c r="C838" s="187">
        <v>2023</v>
      </c>
      <c r="D838" s="120">
        <v>0.4</v>
      </c>
      <c r="E838" s="235">
        <v>1</v>
      </c>
      <c r="F838" s="254">
        <v>5</v>
      </c>
      <c r="G838" s="247">
        <v>26.505230000000001</v>
      </c>
      <c r="L838" s="15"/>
    </row>
    <row r="839" spans="1:12" ht="29.25" customHeight="1" x14ac:dyDescent="0.25">
      <c r="A839" s="251" t="s">
        <v>784</v>
      </c>
      <c r="B839" s="260" t="s">
        <v>933</v>
      </c>
      <c r="C839" s="187">
        <v>2023</v>
      </c>
      <c r="D839" s="120">
        <v>0.4</v>
      </c>
      <c r="E839" s="235">
        <v>1</v>
      </c>
      <c r="F839" s="254">
        <v>5</v>
      </c>
      <c r="G839" s="247">
        <v>26.695439999999998</v>
      </c>
      <c r="L839" s="15"/>
    </row>
    <row r="840" spans="1:12" ht="29.25" customHeight="1" x14ac:dyDescent="0.25">
      <c r="A840" s="251" t="s">
        <v>784</v>
      </c>
      <c r="B840" s="260" t="s">
        <v>934</v>
      </c>
      <c r="C840" s="187">
        <v>2023</v>
      </c>
      <c r="D840" s="120">
        <v>0.4</v>
      </c>
      <c r="E840" s="235">
        <v>1</v>
      </c>
      <c r="F840" s="254">
        <v>7</v>
      </c>
      <c r="G840" s="247">
        <v>13.1357</v>
      </c>
      <c r="L840" s="15"/>
    </row>
    <row r="841" spans="1:12" ht="29.25" customHeight="1" x14ac:dyDescent="0.25">
      <c r="A841" s="251" t="s">
        <v>784</v>
      </c>
      <c r="B841" s="260" t="s">
        <v>935</v>
      </c>
      <c r="C841" s="187">
        <v>2023</v>
      </c>
      <c r="D841" s="120">
        <v>0.4</v>
      </c>
      <c r="E841" s="235">
        <v>1</v>
      </c>
      <c r="F841" s="254">
        <v>5</v>
      </c>
      <c r="G841" s="247">
        <v>31.96744</v>
      </c>
      <c r="L841" s="15"/>
    </row>
    <row r="842" spans="1:12" ht="29.25" customHeight="1" x14ac:dyDescent="0.25">
      <c r="A842" s="251" t="s">
        <v>785</v>
      </c>
      <c r="B842" s="260" t="s">
        <v>936</v>
      </c>
      <c r="C842" s="187">
        <v>2023</v>
      </c>
      <c r="D842" s="120">
        <v>0.4</v>
      </c>
      <c r="E842" s="235">
        <v>1</v>
      </c>
      <c r="F842" s="254">
        <v>15</v>
      </c>
      <c r="G842" s="247">
        <v>34.28669</v>
      </c>
      <c r="L842" s="15"/>
    </row>
    <row r="843" spans="1:12" ht="29.25" customHeight="1" x14ac:dyDescent="0.25">
      <c r="A843" s="251" t="s">
        <v>785</v>
      </c>
      <c r="B843" s="260" t="s">
        <v>937</v>
      </c>
      <c r="C843" s="187">
        <v>2023</v>
      </c>
      <c r="D843" s="120">
        <v>0.4</v>
      </c>
      <c r="E843" s="235">
        <v>1</v>
      </c>
      <c r="F843" s="254">
        <v>15</v>
      </c>
      <c r="G843" s="247">
        <v>35.580069999999999</v>
      </c>
      <c r="L843" s="15"/>
    </row>
    <row r="844" spans="1:12" ht="29.25" customHeight="1" x14ac:dyDescent="0.25">
      <c r="A844" s="251" t="s">
        <v>785</v>
      </c>
      <c r="B844" s="260" t="s">
        <v>938</v>
      </c>
      <c r="C844" s="187">
        <v>2023</v>
      </c>
      <c r="D844" s="120">
        <v>0.4</v>
      </c>
      <c r="E844" s="235">
        <v>1</v>
      </c>
      <c r="F844" s="254">
        <v>15</v>
      </c>
      <c r="G844" s="247">
        <v>31.52965</v>
      </c>
      <c r="L844" s="15"/>
    </row>
    <row r="845" spans="1:12" ht="29.25" customHeight="1" x14ac:dyDescent="0.25">
      <c r="A845" s="251" t="s">
        <v>784</v>
      </c>
      <c r="B845" s="260" t="s">
        <v>939</v>
      </c>
      <c r="C845" s="187">
        <v>2023</v>
      </c>
      <c r="D845" s="120">
        <v>0.4</v>
      </c>
      <c r="E845" s="235">
        <v>1</v>
      </c>
      <c r="F845" s="254">
        <v>10</v>
      </c>
      <c r="G845" s="247">
        <v>8.9841200000000008</v>
      </c>
      <c r="L845" s="15"/>
    </row>
    <row r="846" spans="1:12" ht="29.25" customHeight="1" x14ac:dyDescent="0.25">
      <c r="A846" s="251" t="s">
        <v>785</v>
      </c>
      <c r="B846" s="260" t="s">
        <v>940</v>
      </c>
      <c r="C846" s="187">
        <v>2023</v>
      </c>
      <c r="D846" s="120">
        <v>0.4</v>
      </c>
      <c r="E846" s="235">
        <v>1</v>
      </c>
      <c r="F846" s="254">
        <v>14</v>
      </c>
      <c r="G846" s="247">
        <v>7.61911</v>
      </c>
      <c r="L846" s="15"/>
    </row>
    <row r="847" spans="1:12" ht="29.25" customHeight="1" x14ac:dyDescent="0.25">
      <c r="A847" s="251" t="s">
        <v>785</v>
      </c>
      <c r="B847" s="260" t="s">
        <v>941</v>
      </c>
      <c r="C847" s="187">
        <v>2023</v>
      </c>
      <c r="D847" s="120">
        <v>0.4</v>
      </c>
      <c r="E847" s="235">
        <v>1</v>
      </c>
      <c r="F847" s="254">
        <v>15</v>
      </c>
      <c r="G847" s="247">
        <v>95.450530000000001</v>
      </c>
      <c r="L847" s="15"/>
    </row>
    <row r="848" spans="1:12" ht="29.25" customHeight="1" x14ac:dyDescent="0.25">
      <c r="A848" s="251" t="s">
        <v>785</v>
      </c>
      <c r="B848" s="260" t="s">
        <v>942</v>
      </c>
      <c r="C848" s="187">
        <v>2023</v>
      </c>
      <c r="D848" s="120">
        <v>0.4</v>
      </c>
      <c r="E848" s="235">
        <v>1</v>
      </c>
      <c r="F848" s="254">
        <v>15</v>
      </c>
      <c r="G848" s="247">
        <v>25.173189999999998</v>
      </c>
      <c r="L848" s="15"/>
    </row>
    <row r="849" spans="1:12" ht="29.25" customHeight="1" x14ac:dyDescent="0.25">
      <c r="A849" s="251" t="s">
        <v>784</v>
      </c>
      <c r="B849" s="260" t="s">
        <v>943</v>
      </c>
      <c r="C849" s="187">
        <v>2023</v>
      </c>
      <c r="D849" s="120">
        <v>0.4</v>
      </c>
      <c r="E849" s="235">
        <v>1</v>
      </c>
      <c r="F849" s="254">
        <v>5</v>
      </c>
      <c r="G849" s="247">
        <v>13.109</v>
      </c>
      <c r="L849" s="15"/>
    </row>
    <row r="850" spans="1:12" ht="29.25" customHeight="1" x14ac:dyDescent="0.25">
      <c r="A850" s="251" t="s">
        <v>785</v>
      </c>
      <c r="B850" s="260" t="s">
        <v>944</v>
      </c>
      <c r="C850" s="187">
        <v>2023</v>
      </c>
      <c r="D850" s="120">
        <v>0.4</v>
      </c>
      <c r="E850" s="235">
        <v>1</v>
      </c>
      <c r="F850" s="254">
        <v>15</v>
      </c>
      <c r="G850" s="247">
        <v>8.8157300000000003</v>
      </c>
      <c r="L850" s="15"/>
    </row>
    <row r="851" spans="1:12" ht="29.25" customHeight="1" x14ac:dyDescent="0.25">
      <c r="A851" s="251" t="s">
        <v>785</v>
      </c>
      <c r="B851" s="260" t="s">
        <v>945</v>
      </c>
      <c r="C851" s="187">
        <v>2023</v>
      </c>
      <c r="D851" s="120">
        <v>0.4</v>
      </c>
      <c r="E851" s="235">
        <v>1</v>
      </c>
      <c r="F851" s="254">
        <v>15</v>
      </c>
      <c r="G851" s="247">
        <v>13.40997</v>
      </c>
      <c r="L851" s="15"/>
    </row>
    <row r="852" spans="1:12" ht="29.25" customHeight="1" x14ac:dyDescent="0.25">
      <c r="A852" s="251" t="s">
        <v>784</v>
      </c>
      <c r="B852" s="260" t="s">
        <v>946</v>
      </c>
      <c r="C852" s="187">
        <v>2023</v>
      </c>
      <c r="D852" s="120">
        <v>0.4</v>
      </c>
      <c r="E852" s="235">
        <v>1</v>
      </c>
      <c r="F852" s="254">
        <v>5</v>
      </c>
      <c r="G852" s="247">
        <v>27.800639999999998</v>
      </c>
      <c r="L852" s="15"/>
    </row>
    <row r="853" spans="1:12" ht="29.25" customHeight="1" x14ac:dyDescent="0.25">
      <c r="A853" s="251" t="s">
        <v>785</v>
      </c>
      <c r="B853" s="260" t="s">
        <v>947</v>
      </c>
      <c r="C853" s="187">
        <v>2023</v>
      </c>
      <c r="D853" s="120">
        <v>0.4</v>
      </c>
      <c r="E853" s="235">
        <v>1</v>
      </c>
      <c r="F853" s="254">
        <v>15</v>
      </c>
      <c r="G853" s="247">
        <v>24.95552</v>
      </c>
      <c r="L853" s="15"/>
    </row>
    <row r="854" spans="1:12" ht="29.25" customHeight="1" x14ac:dyDescent="0.25">
      <c r="A854" s="251" t="s">
        <v>785</v>
      </c>
      <c r="B854" s="260" t="s">
        <v>948</v>
      </c>
      <c r="C854" s="187">
        <v>2023</v>
      </c>
      <c r="D854" s="120">
        <v>0.4</v>
      </c>
      <c r="E854" s="235">
        <v>1</v>
      </c>
      <c r="F854" s="254">
        <v>15</v>
      </c>
      <c r="G854" s="247">
        <v>25.712009999999999</v>
      </c>
      <c r="L854" s="15"/>
    </row>
    <row r="855" spans="1:12" ht="29.25" customHeight="1" x14ac:dyDescent="0.25">
      <c r="A855" s="251" t="s">
        <v>784</v>
      </c>
      <c r="B855" s="261" t="s">
        <v>949</v>
      </c>
      <c r="C855" s="187">
        <v>2023</v>
      </c>
      <c r="D855" s="120">
        <v>0.4</v>
      </c>
      <c r="E855" s="235">
        <v>1</v>
      </c>
      <c r="F855" s="254">
        <v>3</v>
      </c>
      <c r="G855" s="247">
        <v>0</v>
      </c>
      <c r="L855" s="15"/>
    </row>
    <row r="856" spans="1:12" ht="29.25" customHeight="1" x14ac:dyDescent="0.25">
      <c r="A856" s="251" t="s">
        <v>784</v>
      </c>
      <c r="B856" s="261" t="s">
        <v>950</v>
      </c>
      <c r="C856" s="187">
        <v>2023</v>
      </c>
      <c r="D856" s="120">
        <v>0.4</v>
      </c>
      <c r="E856" s="235">
        <v>1</v>
      </c>
      <c r="F856" s="254">
        <v>3</v>
      </c>
      <c r="G856" s="247">
        <v>0</v>
      </c>
      <c r="L856" s="15"/>
    </row>
    <row r="857" spans="1:12" ht="29.25" customHeight="1" x14ac:dyDescent="0.25">
      <c r="A857" s="251" t="s">
        <v>784</v>
      </c>
      <c r="B857" s="257" t="s">
        <v>951</v>
      </c>
      <c r="C857" s="187">
        <v>2023</v>
      </c>
      <c r="D857" s="120">
        <v>0.4</v>
      </c>
      <c r="E857" s="235">
        <v>1</v>
      </c>
      <c r="F857" s="224">
        <v>2</v>
      </c>
      <c r="G857" s="247">
        <v>12.01445</v>
      </c>
      <c r="L857" s="15"/>
    </row>
    <row r="858" spans="1:12" ht="29.25" customHeight="1" x14ac:dyDescent="0.25">
      <c r="A858" s="251" t="s">
        <v>784</v>
      </c>
      <c r="B858" s="257" t="s">
        <v>952</v>
      </c>
      <c r="C858" s="187">
        <v>2023</v>
      </c>
      <c r="D858" s="120">
        <v>0.4</v>
      </c>
      <c r="E858" s="235">
        <v>1</v>
      </c>
      <c r="F858" s="224">
        <v>5</v>
      </c>
      <c r="G858" s="247">
        <v>12.01445</v>
      </c>
      <c r="L858" s="15"/>
    </row>
    <row r="859" spans="1:12" ht="29.25" customHeight="1" x14ac:dyDescent="0.25">
      <c r="A859" s="251" t="s">
        <v>785</v>
      </c>
      <c r="B859" s="257" t="s">
        <v>953</v>
      </c>
      <c r="C859" s="187">
        <v>2023</v>
      </c>
      <c r="D859" s="120">
        <v>0.4</v>
      </c>
      <c r="E859" s="235">
        <v>1</v>
      </c>
      <c r="F859" s="224">
        <v>15</v>
      </c>
      <c r="G859" s="247">
        <v>0</v>
      </c>
      <c r="L859" s="15"/>
    </row>
    <row r="860" spans="1:12" ht="29.25" customHeight="1" x14ac:dyDescent="0.25">
      <c r="A860" s="251" t="s">
        <v>784</v>
      </c>
      <c r="B860" s="257" t="s">
        <v>954</v>
      </c>
      <c r="C860" s="187">
        <v>2023</v>
      </c>
      <c r="D860" s="120">
        <v>0.4</v>
      </c>
      <c r="E860" s="235">
        <v>1</v>
      </c>
      <c r="F860" s="224">
        <v>5</v>
      </c>
      <c r="G860" s="247">
        <v>0</v>
      </c>
      <c r="L860" s="15"/>
    </row>
    <row r="861" spans="1:12" ht="29.25" customHeight="1" x14ac:dyDescent="0.25">
      <c r="A861" s="251" t="s">
        <v>784</v>
      </c>
      <c r="B861" s="257" t="s">
        <v>955</v>
      </c>
      <c r="C861" s="187">
        <v>2023</v>
      </c>
      <c r="D861" s="120">
        <v>0.4</v>
      </c>
      <c r="E861" s="235">
        <v>1</v>
      </c>
      <c r="F861" s="224">
        <v>5</v>
      </c>
      <c r="G861" s="247">
        <v>0</v>
      </c>
      <c r="L861" s="15"/>
    </row>
    <row r="862" spans="1:12" ht="29.25" customHeight="1" x14ac:dyDescent="0.25">
      <c r="A862" s="251" t="s">
        <v>784</v>
      </c>
      <c r="B862" s="257" t="s">
        <v>956</v>
      </c>
      <c r="C862" s="187">
        <v>2023</v>
      </c>
      <c r="D862" s="120">
        <v>0.4</v>
      </c>
      <c r="E862" s="235">
        <v>1</v>
      </c>
      <c r="F862" s="224">
        <v>5</v>
      </c>
      <c r="G862" s="247">
        <v>0</v>
      </c>
      <c r="L862" s="15"/>
    </row>
    <row r="863" spans="1:12" ht="29.25" customHeight="1" x14ac:dyDescent="0.25">
      <c r="A863" s="251" t="s">
        <v>784</v>
      </c>
      <c r="B863" s="257" t="s">
        <v>957</v>
      </c>
      <c r="C863" s="187">
        <v>2023</v>
      </c>
      <c r="D863" s="120">
        <v>0.4</v>
      </c>
      <c r="E863" s="235">
        <v>1</v>
      </c>
      <c r="F863" s="224">
        <v>5</v>
      </c>
      <c r="G863" s="247">
        <v>0</v>
      </c>
      <c r="L863" s="15"/>
    </row>
    <row r="864" spans="1:12" ht="29.25" customHeight="1" x14ac:dyDescent="0.25">
      <c r="A864" s="251" t="s">
        <v>784</v>
      </c>
      <c r="B864" s="257" t="s">
        <v>958</v>
      </c>
      <c r="C864" s="187">
        <v>2023</v>
      </c>
      <c r="D864" s="120">
        <v>0.4</v>
      </c>
      <c r="E864" s="235">
        <v>1</v>
      </c>
      <c r="F864" s="224">
        <v>5</v>
      </c>
      <c r="G864" s="247">
        <v>0</v>
      </c>
      <c r="L864" s="15"/>
    </row>
    <row r="865" spans="1:12" ht="29.25" customHeight="1" x14ac:dyDescent="0.25">
      <c r="A865" s="251" t="s">
        <v>784</v>
      </c>
      <c r="B865" s="257" t="s">
        <v>959</v>
      </c>
      <c r="C865" s="187">
        <v>2023</v>
      </c>
      <c r="D865" s="120">
        <v>0.4</v>
      </c>
      <c r="E865" s="235">
        <v>1</v>
      </c>
      <c r="F865" s="224">
        <v>5</v>
      </c>
      <c r="G865" s="247">
        <v>14.48039</v>
      </c>
      <c r="L865" s="15"/>
    </row>
    <row r="866" spans="1:12" ht="29.25" customHeight="1" x14ac:dyDescent="0.25">
      <c r="A866" s="251" t="s">
        <v>784</v>
      </c>
      <c r="B866" s="257" t="s">
        <v>960</v>
      </c>
      <c r="C866" s="187">
        <v>2023</v>
      </c>
      <c r="D866" s="120">
        <v>0.4</v>
      </c>
      <c r="E866" s="235">
        <v>1</v>
      </c>
      <c r="F866" s="224">
        <v>5</v>
      </c>
      <c r="G866" s="247">
        <v>14.48039</v>
      </c>
      <c r="L866" s="15"/>
    </row>
    <row r="867" spans="1:12" ht="29.25" customHeight="1" x14ac:dyDescent="0.25">
      <c r="A867" s="251" t="s">
        <v>784</v>
      </c>
      <c r="B867" s="257" t="s">
        <v>961</v>
      </c>
      <c r="C867" s="187">
        <v>2023</v>
      </c>
      <c r="D867" s="120">
        <v>0.4</v>
      </c>
      <c r="E867" s="235">
        <v>1</v>
      </c>
      <c r="F867" s="224">
        <v>5</v>
      </c>
      <c r="G867" s="247">
        <v>14.48039</v>
      </c>
      <c r="L867" s="15"/>
    </row>
    <row r="868" spans="1:12" ht="29.25" customHeight="1" x14ac:dyDescent="0.25">
      <c r="A868" s="251" t="s">
        <v>784</v>
      </c>
      <c r="B868" s="257" t="s">
        <v>962</v>
      </c>
      <c r="C868" s="187">
        <v>2023</v>
      </c>
      <c r="D868" s="120">
        <v>0.4</v>
      </c>
      <c r="E868" s="235">
        <v>1</v>
      </c>
      <c r="F868" s="224">
        <v>5</v>
      </c>
      <c r="G868" s="247">
        <v>13.949549999999999</v>
      </c>
      <c r="L868" s="15"/>
    </row>
    <row r="869" spans="1:12" ht="29.25" customHeight="1" x14ac:dyDescent="0.25">
      <c r="A869" s="251" t="s">
        <v>784</v>
      </c>
      <c r="B869" s="257" t="s">
        <v>963</v>
      </c>
      <c r="C869" s="187">
        <v>2023</v>
      </c>
      <c r="D869" s="120">
        <v>0.4</v>
      </c>
      <c r="E869" s="235">
        <v>1</v>
      </c>
      <c r="F869" s="224">
        <v>5</v>
      </c>
      <c r="G869" s="247">
        <v>13.97955</v>
      </c>
      <c r="L869" s="15"/>
    </row>
    <row r="870" spans="1:12" ht="29.25" customHeight="1" x14ac:dyDescent="0.25">
      <c r="A870" s="251" t="s">
        <v>784</v>
      </c>
      <c r="B870" s="257" t="s">
        <v>964</v>
      </c>
      <c r="C870" s="187">
        <v>2023</v>
      </c>
      <c r="D870" s="120">
        <v>0.4</v>
      </c>
      <c r="E870" s="235">
        <v>1</v>
      </c>
      <c r="F870" s="224">
        <v>5</v>
      </c>
      <c r="G870" s="247">
        <v>14.061219999999999</v>
      </c>
      <c r="L870" s="15"/>
    </row>
    <row r="871" spans="1:12" ht="29.25" customHeight="1" x14ac:dyDescent="0.25">
      <c r="A871" s="251" t="s">
        <v>784</v>
      </c>
      <c r="B871" s="257" t="s">
        <v>965</v>
      </c>
      <c r="C871" s="187">
        <v>2023</v>
      </c>
      <c r="D871" s="120">
        <v>0.4</v>
      </c>
      <c r="E871" s="235">
        <v>1</v>
      </c>
      <c r="F871" s="224">
        <v>5</v>
      </c>
      <c r="G871" s="247">
        <v>14.29622</v>
      </c>
      <c r="L871" s="15"/>
    </row>
    <row r="872" spans="1:12" ht="29.25" customHeight="1" x14ac:dyDescent="0.25">
      <c r="A872" s="251" t="s">
        <v>784</v>
      </c>
      <c r="B872" s="257" t="s">
        <v>966</v>
      </c>
      <c r="C872" s="187">
        <v>2023</v>
      </c>
      <c r="D872" s="120">
        <v>0.4</v>
      </c>
      <c r="E872" s="235">
        <v>1</v>
      </c>
      <c r="F872" s="224">
        <v>5</v>
      </c>
      <c r="G872" s="247">
        <v>14.3904</v>
      </c>
      <c r="L872" s="15"/>
    </row>
    <row r="873" spans="1:12" ht="29.25" customHeight="1" x14ac:dyDescent="0.25">
      <c r="A873" s="251" t="s">
        <v>784</v>
      </c>
      <c r="B873" s="257" t="s">
        <v>967</v>
      </c>
      <c r="C873" s="187">
        <v>2023</v>
      </c>
      <c r="D873" s="120">
        <v>0.4</v>
      </c>
      <c r="E873" s="235">
        <v>1</v>
      </c>
      <c r="F873" s="224">
        <v>5</v>
      </c>
      <c r="G873" s="247">
        <v>14.337899999999999</v>
      </c>
      <c r="L873" s="15"/>
    </row>
    <row r="874" spans="1:12" ht="29.25" customHeight="1" x14ac:dyDescent="0.25">
      <c r="A874" s="251" t="s">
        <v>784</v>
      </c>
      <c r="B874" s="257" t="s">
        <v>968</v>
      </c>
      <c r="C874" s="187">
        <v>2023</v>
      </c>
      <c r="D874" s="120">
        <v>0.4</v>
      </c>
      <c r="E874" s="235">
        <v>1</v>
      </c>
      <c r="F874" s="224">
        <v>5</v>
      </c>
      <c r="G874" s="247">
        <v>13.05903</v>
      </c>
      <c r="L874" s="15"/>
    </row>
    <row r="875" spans="1:12" ht="29.25" customHeight="1" x14ac:dyDescent="0.25">
      <c r="A875" s="251" t="s">
        <v>784</v>
      </c>
      <c r="B875" s="257" t="s">
        <v>969</v>
      </c>
      <c r="C875" s="187">
        <v>2023</v>
      </c>
      <c r="D875" s="120">
        <v>0.4</v>
      </c>
      <c r="E875" s="235">
        <v>1</v>
      </c>
      <c r="F875" s="224">
        <v>5</v>
      </c>
      <c r="G875" s="247">
        <v>13.313600000000001</v>
      </c>
      <c r="L875" s="15"/>
    </row>
    <row r="876" spans="1:12" ht="29.25" customHeight="1" x14ac:dyDescent="0.25">
      <c r="A876" s="251" t="s">
        <v>784</v>
      </c>
      <c r="B876" s="257" t="s">
        <v>970</v>
      </c>
      <c r="C876" s="187">
        <v>2023</v>
      </c>
      <c r="D876" s="120">
        <v>0.4</v>
      </c>
      <c r="E876" s="235">
        <v>1</v>
      </c>
      <c r="F876" s="224">
        <v>10</v>
      </c>
      <c r="G876" s="247">
        <v>25.16667</v>
      </c>
      <c r="L876" s="15"/>
    </row>
    <row r="877" spans="1:12" ht="29.25" customHeight="1" x14ac:dyDescent="0.25">
      <c r="A877" s="251" t="s">
        <v>785</v>
      </c>
      <c r="B877" s="257" t="s">
        <v>971</v>
      </c>
      <c r="C877" s="187">
        <v>2023</v>
      </c>
      <c r="D877" s="120">
        <v>0.4</v>
      </c>
      <c r="E877" s="235">
        <v>1</v>
      </c>
      <c r="F877" s="224">
        <v>15</v>
      </c>
      <c r="G877" s="247">
        <v>28.647389999999998</v>
      </c>
      <c r="L877" s="15"/>
    </row>
    <row r="878" spans="1:12" ht="29.25" customHeight="1" x14ac:dyDescent="0.25">
      <c r="A878" s="251" t="s">
        <v>784</v>
      </c>
      <c r="B878" s="257" t="s">
        <v>972</v>
      </c>
      <c r="C878" s="187">
        <v>2023</v>
      </c>
      <c r="D878" s="120">
        <v>0.4</v>
      </c>
      <c r="E878" s="235">
        <v>1</v>
      </c>
      <c r="F878" s="224">
        <v>5</v>
      </c>
      <c r="G878" s="247">
        <v>12.8065</v>
      </c>
      <c r="L878" s="15"/>
    </row>
    <row r="879" spans="1:12" ht="29.25" customHeight="1" x14ac:dyDescent="0.25">
      <c r="A879" s="251" t="s">
        <v>785</v>
      </c>
      <c r="B879" s="257" t="s">
        <v>973</v>
      </c>
      <c r="C879" s="187">
        <v>2023</v>
      </c>
      <c r="D879" s="120">
        <v>0.4</v>
      </c>
      <c r="E879" s="235">
        <v>1</v>
      </c>
      <c r="F879" s="224">
        <v>15</v>
      </c>
      <c r="G879" s="247">
        <v>25.422849999999997</v>
      </c>
      <c r="L879" s="15"/>
    </row>
    <row r="880" spans="1:12" ht="29.25" customHeight="1" x14ac:dyDescent="0.25">
      <c r="A880" s="251" t="s">
        <v>785</v>
      </c>
      <c r="B880" s="257" t="s">
        <v>974</v>
      </c>
      <c r="C880" s="187">
        <v>2023</v>
      </c>
      <c r="D880" s="120">
        <v>0.4</v>
      </c>
      <c r="E880" s="235">
        <v>1</v>
      </c>
      <c r="F880" s="224">
        <v>15</v>
      </c>
      <c r="G880" s="247">
        <v>25.7912</v>
      </c>
      <c r="L880" s="15"/>
    </row>
    <row r="881" spans="1:12" ht="29.25" customHeight="1" x14ac:dyDescent="0.25">
      <c r="A881" s="251" t="s">
        <v>784</v>
      </c>
      <c r="B881" s="257" t="s">
        <v>975</v>
      </c>
      <c r="C881" s="187">
        <v>2023</v>
      </c>
      <c r="D881" s="120">
        <v>0.4</v>
      </c>
      <c r="E881" s="235">
        <v>1</v>
      </c>
      <c r="F881" s="224">
        <v>5</v>
      </c>
      <c r="G881" s="247">
        <v>13.386799999999999</v>
      </c>
      <c r="L881" s="15"/>
    </row>
    <row r="882" spans="1:12" ht="29.25" customHeight="1" x14ac:dyDescent="0.25">
      <c r="A882" s="251" t="s">
        <v>785</v>
      </c>
      <c r="B882" s="257" t="s">
        <v>976</v>
      </c>
      <c r="C882" s="187">
        <v>2023</v>
      </c>
      <c r="D882" s="120">
        <v>0.4</v>
      </c>
      <c r="E882" s="235">
        <v>1</v>
      </c>
      <c r="F882" s="224">
        <v>15</v>
      </c>
      <c r="G882" s="247">
        <v>31.201310000000003</v>
      </c>
      <c r="L882" s="15"/>
    </row>
    <row r="883" spans="1:12" ht="29.25" customHeight="1" x14ac:dyDescent="0.25">
      <c r="A883" s="251" t="s">
        <v>785</v>
      </c>
      <c r="B883" s="257" t="s">
        <v>977</v>
      </c>
      <c r="C883" s="187">
        <v>2023</v>
      </c>
      <c r="D883" s="120">
        <v>0.4</v>
      </c>
      <c r="E883" s="235">
        <v>1</v>
      </c>
      <c r="F883" s="224">
        <v>15</v>
      </c>
      <c r="G883" s="247">
        <v>25.397849999999998</v>
      </c>
      <c r="L883" s="15"/>
    </row>
    <row r="884" spans="1:12" ht="29.25" customHeight="1" x14ac:dyDescent="0.25">
      <c r="A884" s="251" t="s">
        <v>785</v>
      </c>
      <c r="B884" s="257" t="s">
        <v>978</v>
      </c>
      <c r="C884" s="187">
        <v>2023</v>
      </c>
      <c r="D884" s="120">
        <v>0.4</v>
      </c>
      <c r="E884" s="235">
        <v>1</v>
      </c>
      <c r="F884" s="224">
        <v>15</v>
      </c>
      <c r="G884" s="247">
        <v>25.313549999999999</v>
      </c>
      <c r="L884" s="15"/>
    </row>
    <row r="885" spans="1:12" ht="29.25" customHeight="1" x14ac:dyDescent="0.25">
      <c r="A885" s="251" t="s">
        <v>785</v>
      </c>
      <c r="B885" s="257" t="s">
        <v>979</v>
      </c>
      <c r="C885" s="187">
        <v>2023</v>
      </c>
      <c r="D885" s="120">
        <v>0.4</v>
      </c>
      <c r="E885" s="235">
        <v>1</v>
      </c>
      <c r="F885" s="224">
        <v>15</v>
      </c>
      <c r="G885" s="247">
        <v>14.702780000000001</v>
      </c>
      <c r="L885" s="15"/>
    </row>
    <row r="886" spans="1:12" ht="29.25" customHeight="1" x14ac:dyDescent="0.25">
      <c r="A886" s="251" t="s">
        <v>784</v>
      </c>
      <c r="B886" s="257" t="s">
        <v>980</v>
      </c>
      <c r="C886" s="187">
        <v>2023</v>
      </c>
      <c r="D886" s="120">
        <v>0.4</v>
      </c>
      <c r="E886" s="235">
        <v>1</v>
      </c>
      <c r="F886" s="224">
        <v>10</v>
      </c>
      <c r="G886" s="247">
        <v>25.029160000000001</v>
      </c>
      <c r="L886" s="15"/>
    </row>
    <row r="887" spans="1:12" ht="29.25" customHeight="1" x14ac:dyDescent="0.25">
      <c r="A887" s="251" t="s">
        <v>785</v>
      </c>
      <c r="B887" s="257" t="s">
        <v>981</v>
      </c>
      <c r="C887" s="187">
        <v>2023</v>
      </c>
      <c r="D887" s="120">
        <v>0.4</v>
      </c>
      <c r="E887" s="235">
        <v>1</v>
      </c>
      <c r="F887" s="224">
        <v>15</v>
      </c>
      <c r="G887" s="247">
        <v>25.50385</v>
      </c>
      <c r="L887" s="15"/>
    </row>
    <row r="888" spans="1:12" ht="29.25" customHeight="1" x14ac:dyDescent="0.25">
      <c r="A888" s="251" t="s">
        <v>785</v>
      </c>
      <c r="B888" s="257" t="s">
        <v>982</v>
      </c>
      <c r="C888" s="187">
        <v>2023</v>
      </c>
      <c r="D888" s="120">
        <v>0.4</v>
      </c>
      <c r="E888" s="235">
        <v>1</v>
      </c>
      <c r="F888" s="224">
        <v>15</v>
      </c>
      <c r="G888" s="247">
        <v>25.337630000000001</v>
      </c>
      <c r="L888" s="15"/>
    </row>
    <row r="889" spans="1:12" ht="29.25" customHeight="1" x14ac:dyDescent="0.25">
      <c r="A889" s="251" t="s">
        <v>785</v>
      </c>
      <c r="B889" s="257" t="s">
        <v>983</v>
      </c>
      <c r="C889" s="187">
        <v>2023</v>
      </c>
      <c r="D889" s="120">
        <v>0.4</v>
      </c>
      <c r="E889" s="235">
        <v>1</v>
      </c>
      <c r="F889" s="224">
        <v>15</v>
      </c>
      <c r="G889" s="247">
        <v>28.080500000000001</v>
      </c>
      <c r="L889" s="15"/>
    </row>
    <row r="890" spans="1:12" ht="29.25" customHeight="1" x14ac:dyDescent="0.25">
      <c r="A890" s="251" t="s">
        <v>785</v>
      </c>
      <c r="B890" s="257" t="s">
        <v>984</v>
      </c>
      <c r="C890" s="187">
        <v>2023</v>
      </c>
      <c r="D890" s="120">
        <v>0.4</v>
      </c>
      <c r="E890" s="235">
        <v>1</v>
      </c>
      <c r="F890" s="224">
        <v>15</v>
      </c>
      <c r="G890" s="247">
        <v>25.432849999999998</v>
      </c>
      <c r="L890" s="15"/>
    </row>
    <row r="891" spans="1:12" ht="29.25" customHeight="1" x14ac:dyDescent="0.25">
      <c r="A891" s="251" t="s">
        <v>785</v>
      </c>
      <c r="B891" s="257" t="s">
        <v>985</v>
      </c>
      <c r="C891" s="187">
        <v>2023</v>
      </c>
      <c r="D891" s="120">
        <v>0.4</v>
      </c>
      <c r="E891" s="235">
        <v>1</v>
      </c>
      <c r="F891" s="224">
        <v>15</v>
      </c>
      <c r="G891" s="247">
        <v>25.791180000000001</v>
      </c>
      <c r="L891" s="15"/>
    </row>
    <row r="892" spans="1:12" ht="29.25" customHeight="1" x14ac:dyDescent="0.25">
      <c r="A892" s="251" t="s">
        <v>784</v>
      </c>
      <c r="B892" s="257" t="s">
        <v>986</v>
      </c>
      <c r="C892" s="187">
        <v>2023</v>
      </c>
      <c r="D892" s="120">
        <v>0.4</v>
      </c>
      <c r="E892" s="235">
        <v>1</v>
      </c>
      <c r="F892" s="224">
        <v>5</v>
      </c>
      <c r="G892" s="247">
        <v>13.230259999999999</v>
      </c>
      <c r="L892" s="15"/>
    </row>
    <row r="893" spans="1:12" ht="29.25" customHeight="1" x14ac:dyDescent="0.25">
      <c r="A893" s="251" t="s">
        <v>784</v>
      </c>
      <c r="B893" s="257" t="s">
        <v>987</v>
      </c>
      <c r="C893" s="187">
        <v>2023</v>
      </c>
      <c r="D893" s="120">
        <v>0.4</v>
      </c>
      <c r="E893" s="235">
        <v>1</v>
      </c>
      <c r="F893" s="224">
        <v>5</v>
      </c>
      <c r="G893" s="247">
        <v>13.10492</v>
      </c>
      <c r="L893" s="15"/>
    </row>
    <row r="894" spans="1:12" ht="29.25" customHeight="1" x14ac:dyDescent="0.25">
      <c r="A894" s="251" t="s">
        <v>785</v>
      </c>
      <c r="B894" s="257" t="s">
        <v>988</v>
      </c>
      <c r="C894" s="187">
        <v>2023</v>
      </c>
      <c r="D894" s="120">
        <v>0.4</v>
      </c>
      <c r="E894" s="235">
        <v>1</v>
      </c>
      <c r="F894" s="224">
        <v>15</v>
      </c>
      <c r="G894" s="247">
        <v>46.292970000000004</v>
      </c>
      <c r="L894" s="15"/>
    </row>
    <row r="895" spans="1:12" ht="29.25" customHeight="1" x14ac:dyDescent="0.25">
      <c r="A895" s="251" t="s">
        <v>785</v>
      </c>
      <c r="B895" s="257" t="s">
        <v>989</v>
      </c>
      <c r="C895" s="187">
        <v>2023</v>
      </c>
      <c r="D895" s="120">
        <v>0.4</v>
      </c>
      <c r="E895" s="235">
        <v>1</v>
      </c>
      <c r="F895" s="224">
        <v>15</v>
      </c>
      <c r="G895" s="247">
        <v>29.455929999999999</v>
      </c>
      <c r="L895" s="15"/>
    </row>
    <row r="896" spans="1:12" ht="29.25" customHeight="1" x14ac:dyDescent="0.25">
      <c r="A896" s="251" t="s">
        <v>785</v>
      </c>
      <c r="B896" s="257" t="s">
        <v>990</v>
      </c>
      <c r="C896" s="187">
        <v>2023</v>
      </c>
      <c r="D896" s="120">
        <v>0.4</v>
      </c>
      <c r="E896" s="235">
        <v>1</v>
      </c>
      <c r="F896" s="224">
        <v>15</v>
      </c>
      <c r="G896" s="247">
        <v>28.872199999999999</v>
      </c>
      <c r="L896" s="15"/>
    </row>
    <row r="897" spans="1:12" ht="29.25" customHeight="1" x14ac:dyDescent="0.25">
      <c r="A897" s="251" t="s">
        <v>784</v>
      </c>
      <c r="B897" s="257" t="s">
        <v>991</v>
      </c>
      <c r="C897" s="187">
        <v>2023</v>
      </c>
      <c r="D897" s="120">
        <v>0.4</v>
      </c>
      <c r="E897" s="235">
        <v>1</v>
      </c>
      <c r="F897" s="224">
        <v>5</v>
      </c>
      <c r="G897" s="247">
        <v>13.15236</v>
      </c>
      <c r="L897" s="15"/>
    </row>
    <row r="898" spans="1:12" ht="29.25" customHeight="1" x14ac:dyDescent="0.25">
      <c r="A898" s="251" t="s">
        <v>784</v>
      </c>
      <c r="B898" s="257" t="s">
        <v>992</v>
      </c>
      <c r="C898" s="187">
        <v>2023</v>
      </c>
      <c r="D898" s="120">
        <v>0.4</v>
      </c>
      <c r="E898" s="235">
        <v>1</v>
      </c>
      <c r="F898" s="224">
        <v>5</v>
      </c>
      <c r="G898" s="247">
        <v>13.09085</v>
      </c>
      <c r="L898" s="15"/>
    </row>
    <row r="899" spans="1:12" ht="29.25" customHeight="1" x14ac:dyDescent="0.25">
      <c r="A899" s="251" t="s">
        <v>784</v>
      </c>
      <c r="B899" s="257" t="s">
        <v>993</v>
      </c>
      <c r="C899" s="187">
        <v>2023</v>
      </c>
      <c r="D899" s="120">
        <v>0.4</v>
      </c>
      <c r="E899" s="235">
        <v>1</v>
      </c>
      <c r="F899" s="224">
        <v>5</v>
      </c>
      <c r="G899" s="247">
        <v>13.09085</v>
      </c>
      <c r="L899" s="15"/>
    </row>
    <row r="900" spans="1:12" ht="29.25" customHeight="1" x14ac:dyDescent="0.25">
      <c r="A900" s="251" t="s">
        <v>784</v>
      </c>
      <c r="B900" s="257" t="s">
        <v>994</v>
      </c>
      <c r="C900" s="187">
        <v>2023</v>
      </c>
      <c r="D900" s="120">
        <v>0.4</v>
      </c>
      <c r="E900" s="235">
        <v>1</v>
      </c>
      <c r="F900" s="224">
        <v>5</v>
      </c>
      <c r="G900" s="247">
        <v>13.39841</v>
      </c>
      <c r="L900" s="15"/>
    </row>
    <row r="901" spans="1:12" ht="29.25" customHeight="1" x14ac:dyDescent="0.25">
      <c r="A901" s="251" t="s">
        <v>784</v>
      </c>
      <c r="B901" s="257" t="s">
        <v>995</v>
      </c>
      <c r="C901" s="187">
        <v>2023</v>
      </c>
      <c r="D901" s="120">
        <v>0.4</v>
      </c>
      <c r="E901" s="235">
        <v>1</v>
      </c>
      <c r="F901" s="224">
        <v>5</v>
      </c>
      <c r="G901" s="247">
        <v>27.507020000000001</v>
      </c>
      <c r="L901" s="15"/>
    </row>
    <row r="902" spans="1:12" ht="29.25" customHeight="1" x14ac:dyDescent="0.25">
      <c r="A902" s="251" t="s">
        <v>785</v>
      </c>
      <c r="B902" s="257" t="s">
        <v>996</v>
      </c>
      <c r="C902" s="187">
        <v>2023</v>
      </c>
      <c r="D902" s="120">
        <v>0.4</v>
      </c>
      <c r="E902" s="235">
        <v>1</v>
      </c>
      <c r="F902" s="224">
        <v>14</v>
      </c>
      <c r="G902" s="247">
        <v>27.25066</v>
      </c>
      <c r="L902" s="15"/>
    </row>
    <row r="903" spans="1:12" ht="29.25" customHeight="1" x14ac:dyDescent="0.25">
      <c r="A903" s="251" t="s">
        <v>785</v>
      </c>
      <c r="B903" s="262" t="s">
        <v>997</v>
      </c>
      <c r="C903" s="187">
        <v>2023</v>
      </c>
      <c r="D903" s="120">
        <v>0.4</v>
      </c>
      <c r="E903" s="235">
        <v>1</v>
      </c>
      <c r="F903" s="255">
        <v>15</v>
      </c>
      <c r="G903" s="248">
        <v>25.791330000000002</v>
      </c>
      <c r="L903" s="15"/>
    </row>
    <row r="904" spans="1:12" ht="29.25" customHeight="1" x14ac:dyDescent="0.25">
      <c r="A904" s="251" t="s">
        <v>785</v>
      </c>
      <c r="B904" s="257" t="s">
        <v>998</v>
      </c>
      <c r="C904" s="187">
        <v>2023</v>
      </c>
      <c r="D904" s="120">
        <v>0.4</v>
      </c>
      <c r="E904" s="235">
        <v>1</v>
      </c>
      <c r="F904" s="224">
        <v>15</v>
      </c>
      <c r="G904" s="247">
        <v>29.260770000000001</v>
      </c>
      <c r="L904" s="15"/>
    </row>
    <row r="905" spans="1:12" ht="29.25" customHeight="1" thickBot="1" x14ac:dyDescent="0.3">
      <c r="A905" s="252" t="s">
        <v>785</v>
      </c>
      <c r="B905" s="257" t="s">
        <v>999</v>
      </c>
      <c r="C905" s="187">
        <v>2023</v>
      </c>
      <c r="D905" s="120">
        <v>0.4</v>
      </c>
      <c r="E905" s="235">
        <v>1</v>
      </c>
      <c r="F905" s="224">
        <v>15</v>
      </c>
      <c r="G905" s="247">
        <v>7.1308100000000003</v>
      </c>
      <c r="L905" s="15"/>
    </row>
    <row r="906" spans="1:12" ht="29.25" customHeight="1" x14ac:dyDescent="0.25">
      <c r="A906" s="296" t="s">
        <v>784</v>
      </c>
      <c r="B906" s="257" t="s">
        <v>1059</v>
      </c>
      <c r="C906" s="287">
        <v>2023</v>
      </c>
      <c r="D906" s="268">
        <v>0.4</v>
      </c>
      <c r="E906" s="235">
        <v>1</v>
      </c>
      <c r="F906" s="269">
        <v>5</v>
      </c>
      <c r="G906" s="277">
        <v>26.757240000000003</v>
      </c>
      <c r="L906" s="15"/>
    </row>
    <row r="907" spans="1:12" ht="29.25" customHeight="1" x14ac:dyDescent="0.25">
      <c r="A907" s="293" t="s">
        <v>784</v>
      </c>
      <c r="B907" s="257" t="s">
        <v>1060</v>
      </c>
      <c r="C907" s="154">
        <v>2023</v>
      </c>
      <c r="D907" s="120">
        <v>0.4</v>
      </c>
      <c r="E907" s="235">
        <v>1</v>
      </c>
      <c r="F907" s="97">
        <v>5</v>
      </c>
      <c r="G907" s="109">
        <v>26.533930000000002</v>
      </c>
      <c r="L907" s="15"/>
    </row>
    <row r="908" spans="1:12" ht="29.25" customHeight="1" x14ac:dyDescent="0.25">
      <c r="A908" s="293" t="s">
        <v>784</v>
      </c>
      <c r="B908" s="257" t="s">
        <v>1061</v>
      </c>
      <c r="C908" s="154">
        <v>2023</v>
      </c>
      <c r="D908" s="120">
        <v>0.4</v>
      </c>
      <c r="E908" s="235">
        <v>1</v>
      </c>
      <c r="F908" s="97">
        <v>5</v>
      </c>
      <c r="G908" s="109">
        <v>26.619949999999999</v>
      </c>
      <c r="L908" s="15"/>
    </row>
    <row r="909" spans="1:12" ht="29.25" customHeight="1" x14ac:dyDescent="0.25">
      <c r="A909" s="293" t="s">
        <v>784</v>
      </c>
      <c r="B909" s="257" t="s">
        <v>1062</v>
      </c>
      <c r="C909" s="154">
        <v>2023</v>
      </c>
      <c r="D909" s="120">
        <v>0.4</v>
      </c>
      <c r="E909" s="235">
        <v>1</v>
      </c>
      <c r="F909" s="97">
        <v>5</v>
      </c>
      <c r="G909" s="109">
        <v>12.869680000000001</v>
      </c>
      <c r="L909" s="15"/>
    </row>
    <row r="910" spans="1:12" ht="29.25" customHeight="1" x14ac:dyDescent="0.25">
      <c r="A910" s="293" t="s">
        <v>784</v>
      </c>
      <c r="B910" s="257" t="s">
        <v>1063</v>
      </c>
      <c r="C910" s="154">
        <v>2023</v>
      </c>
      <c r="D910" s="120">
        <v>0.4</v>
      </c>
      <c r="E910" s="235">
        <v>1</v>
      </c>
      <c r="F910" s="97">
        <v>5</v>
      </c>
      <c r="G910" s="109">
        <v>12.673299999999999</v>
      </c>
      <c r="L910" s="15"/>
    </row>
    <row r="911" spans="1:12" ht="29.25" customHeight="1" x14ac:dyDescent="0.25">
      <c r="A911" s="293" t="s">
        <v>784</v>
      </c>
      <c r="B911" s="257" t="s">
        <v>1064</v>
      </c>
      <c r="C911" s="154">
        <v>2023</v>
      </c>
      <c r="D911" s="120">
        <v>0.4</v>
      </c>
      <c r="E911" s="235">
        <v>1</v>
      </c>
      <c r="F911" s="97">
        <v>5</v>
      </c>
      <c r="G911" s="109">
        <v>26.47879</v>
      </c>
      <c r="L911" s="15"/>
    </row>
    <row r="912" spans="1:12" ht="29.25" customHeight="1" x14ac:dyDescent="0.25">
      <c r="A912" s="293" t="s">
        <v>784</v>
      </c>
      <c r="B912" s="257" t="s">
        <v>1065</v>
      </c>
      <c r="C912" s="154">
        <v>2023</v>
      </c>
      <c r="D912" s="120">
        <v>0.4</v>
      </c>
      <c r="E912" s="235">
        <v>1</v>
      </c>
      <c r="F912" s="97">
        <v>5</v>
      </c>
      <c r="G912" s="109">
        <v>13.613490000000001</v>
      </c>
      <c r="L912" s="15"/>
    </row>
    <row r="913" spans="1:12" ht="29.25" customHeight="1" x14ac:dyDescent="0.25">
      <c r="A913" s="293" t="s">
        <v>784</v>
      </c>
      <c r="B913" s="257" t="s">
        <v>1066</v>
      </c>
      <c r="C913" s="154">
        <v>2023</v>
      </c>
      <c r="D913" s="120">
        <v>0.4</v>
      </c>
      <c r="E913" s="235">
        <v>1</v>
      </c>
      <c r="F913" s="97">
        <v>15</v>
      </c>
      <c r="G913" s="109">
        <v>32.973279999999995</v>
      </c>
      <c r="L913" s="15"/>
    </row>
    <row r="914" spans="1:12" ht="29.25" customHeight="1" x14ac:dyDescent="0.25">
      <c r="A914" s="293" t="s">
        <v>784</v>
      </c>
      <c r="B914" s="257" t="s">
        <v>1067</v>
      </c>
      <c r="C914" s="154">
        <v>2023</v>
      </c>
      <c r="D914" s="120">
        <v>0.4</v>
      </c>
      <c r="E914" s="235">
        <v>1</v>
      </c>
      <c r="F914" s="97">
        <v>7</v>
      </c>
      <c r="G914" s="109">
        <v>26.43601</v>
      </c>
      <c r="L914" s="15"/>
    </row>
    <row r="915" spans="1:12" ht="29.25" customHeight="1" x14ac:dyDescent="0.25">
      <c r="A915" s="293" t="s">
        <v>784</v>
      </c>
      <c r="B915" s="257" t="s">
        <v>1068</v>
      </c>
      <c r="C915" s="154">
        <v>2023</v>
      </c>
      <c r="D915" s="120">
        <v>0.4</v>
      </c>
      <c r="E915" s="235">
        <v>1</v>
      </c>
      <c r="F915" s="97">
        <v>3</v>
      </c>
      <c r="G915" s="109">
        <v>41.029350000000001</v>
      </c>
      <c r="L915" s="15"/>
    </row>
    <row r="916" spans="1:12" ht="29.25" customHeight="1" x14ac:dyDescent="0.25">
      <c r="A916" s="293" t="s">
        <v>784</v>
      </c>
      <c r="B916" s="257" t="s">
        <v>1069</v>
      </c>
      <c r="C916" s="154">
        <v>2023</v>
      </c>
      <c r="D916" s="120">
        <v>0.4</v>
      </c>
      <c r="E916" s="235">
        <v>1</v>
      </c>
      <c r="F916" s="97">
        <v>5</v>
      </c>
      <c r="G916" s="109">
        <v>20.770060000000001</v>
      </c>
      <c r="L916" s="15"/>
    </row>
    <row r="917" spans="1:12" ht="29.25" customHeight="1" x14ac:dyDescent="0.25">
      <c r="A917" s="293" t="s">
        <v>784</v>
      </c>
      <c r="B917" s="257" t="s">
        <v>1070</v>
      </c>
      <c r="C917" s="120">
        <v>2023</v>
      </c>
      <c r="D917" s="120">
        <v>0.4</v>
      </c>
      <c r="E917" s="235">
        <v>1</v>
      </c>
      <c r="F917" s="97">
        <v>5</v>
      </c>
      <c r="G917" s="109">
        <v>29.522740000000002</v>
      </c>
      <c r="L917" s="15"/>
    </row>
    <row r="918" spans="1:12" ht="29.25" customHeight="1" x14ac:dyDescent="0.25">
      <c r="A918" s="293" t="s">
        <v>784</v>
      </c>
      <c r="B918" s="257" t="s">
        <v>1071</v>
      </c>
      <c r="C918" s="120">
        <v>2023</v>
      </c>
      <c r="D918" s="120">
        <v>0.4</v>
      </c>
      <c r="E918" s="235">
        <v>1</v>
      </c>
      <c r="F918" s="97">
        <v>5</v>
      </c>
      <c r="G918" s="109">
        <v>80.68610000000001</v>
      </c>
      <c r="L918" s="15"/>
    </row>
    <row r="919" spans="1:12" ht="29.25" customHeight="1" x14ac:dyDescent="0.25">
      <c r="A919" s="293" t="s">
        <v>784</v>
      </c>
      <c r="B919" s="257" t="s">
        <v>1072</v>
      </c>
      <c r="C919" s="154">
        <v>2021</v>
      </c>
      <c r="D919" s="120">
        <v>0.4</v>
      </c>
      <c r="E919" s="235">
        <v>1</v>
      </c>
      <c r="F919" s="97">
        <v>5</v>
      </c>
      <c r="G919" s="288">
        <v>25.699169999999999</v>
      </c>
      <c r="L919" s="15"/>
    </row>
    <row r="920" spans="1:12" ht="29.25" customHeight="1" x14ac:dyDescent="0.25">
      <c r="A920" s="293" t="s">
        <v>785</v>
      </c>
      <c r="B920" s="257" t="s">
        <v>1073</v>
      </c>
      <c r="C920" s="154">
        <v>2023</v>
      </c>
      <c r="D920" s="120">
        <v>0.4</v>
      </c>
      <c r="E920" s="235">
        <v>1</v>
      </c>
      <c r="F920" s="97">
        <v>25</v>
      </c>
      <c r="G920" s="288">
        <v>17.90485</v>
      </c>
      <c r="L920" s="15"/>
    </row>
    <row r="921" spans="1:12" ht="29.25" customHeight="1" x14ac:dyDescent="0.25">
      <c r="A921" s="293" t="s">
        <v>785</v>
      </c>
      <c r="B921" s="257" t="s">
        <v>1074</v>
      </c>
      <c r="C921" s="154">
        <v>2023</v>
      </c>
      <c r="D921" s="120">
        <v>0.4</v>
      </c>
      <c r="E921" s="235">
        <v>1</v>
      </c>
      <c r="F921" s="97">
        <v>25</v>
      </c>
      <c r="G921" s="288">
        <v>36.480600000000003</v>
      </c>
      <c r="L921" s="15"/>
    </row>
    <row r="922" spans="1:12" ht="29.25" customHeight="1" x14ac:dyDescent="0.25">
      <c r="A922" s="293" t="s">
        <v>785</v>
      </c>
      <c r="B922" s="257" t="s">
        <v>1075</v>
      </c>
      <c r="C922" s="154">
        <v>2023</v>
      </c>
      <c r="D922" s="120">
        <v>0.4</v>
      </c>
      <c r="E922" s="235">
        <v>1</v>
      </c>
      <c r="F922" s="97">
        <v>20</v>
      </c>
      <c r="G922" s="288">
        <v>26.11834</v>
      </c>
      <c r="L922" s="15"/>
    </row>
    <row r="923" spans="1:12" ht="29.25" customHeight="1" x14ac:dyDescent="0.25">
      <c r="A923" s="293" t="s">
        <v>785</v>
      </c>
      <c r="B923" s="257" t="s">
        <v>1076</v>
      </c>
      <c r="C923" s="154">
        <v>2023</v>
      </c>
      <c r="D923" s="120">
        <v>0.4</v>
      </c>
      <c r="E923" s="235">
        <v>1</v>
      </c>
      <c r="F923" s="97">
        <v>30</v>
      </c>
      <c r="G923" s="288">
        <v>34.28669</v>
      </c>
      <c r="L923" s="15"/>
    </row>
    <row r="924" spans="1:12" ht="29.25" customHeight="1" x14ac:dyDescent="0.25">
      <c r="A924" s="293" t="s">
        <v>785</v>
      </c>
      <c r="B924" s="257" t="s">
        <v>1077</v>
      </c>
      <c r="C924" s="154">
        <v>2023</v>
      </c>
      <c r="D924" s="120">
        <v>0.4</v>
      </c>
      <c r="E924" s="235">
        <v>1</v>
      </c>
      <c r="F924" s="97">
        <v>24</v>
      </c>
      <c r="G924" s="289">
        <v>25.712580000000003</v>
      </c>
      <c r="L924" s="15"/>
    </row>
    <row r="925" spans="1:12" ht="29.25" customHeight="1" x14ac:dyDescent="0.25">
      <c r="A925" s="293" t="s">
        <v>785</v>
      </c>
      <c r="B925" s="257" t="s">
        <v>1078</v>
      </c>
      <c r="C925" s="154">
        <v>2023</v>
      </c>
      <c r="D925" s="120">
        <v>0.4</v>
      </c>
      <c r="E925" s="235">
        <v>1</v>
      </c>
      <c r="F925" s="97">
        <v>15</v>
      </c>
      <c r="G925" s="288">
        <v>34.521509999999999</v>
      </c>
      <c r="L925" s="15"/>
    </row>
    <row r="926" spans="1:12" ht="29.25" customHeight="1" x14ac:dyDescent="0.25">
      <c r="A926" s="293" t="s">
        <v>785</v>
      </c>
      <c r="B926" s="257" t="s">
        <v>1079</v>
      </c>
      <c r="C926" s="154">
        <v>2023</v>
      </c>
      <c r="D926" s="120">
        <v>0.4</v>
      </c>
      <c r="E926" s="235">
        <v>1</v>
      </c>
      <c r="F926" s="97">
        <v>15</v>
      </c>
      <c r="G926" s="288">
        <v>95.450530000000001</v>
      </c>
      <c r="L926" s="15"/>
    </row>
    <row r="927" spans="1:12" ht="29.25" customHeight="1" x14ac:dyDescent="0.25">
      <c r="A927" s="293" t="s">
        <v>785</v>
      </c>
      <c r="B927" s="257" t="s">
        <v>1080</v>
      </c>
      <c r="C927" s="154">
        <v>2023</v>
      </c>
      <c r="D927" s="120">
        <v>0.4</v>
      </c>
      <c r="E927" s="235">
        <v>1</v>
      </c>
      <c r="F927" s="97">
        <v>15</v>
      </c>
      <c r="G927" s="288">
        <v>24.5562</v>
      </c>
      <c r="L927" s="15"/>
    </row>
    <row r="928" spans="1:12" ht="29.25" customHeight="1" x14ac:dyDescent="0.25">
      <c r="A928" s="293" t="s">
        <v>785</v>
      </c>
      <c r="B928" s="257" t="s">
        <v>1081</v>
      </c>
      <c r="C928" s="154">
        <v>2023</v>
      </c>
      <c r="D928" s="120">
        <v>0.4</v>
      </c>
      <c r="E928" s="235">
        <v>1</v>
      </c>
      <c r="F928" s="97">
        <v>15</v>
      </c>
      <c r="G928" s="289">
        <v>24.62678</v>
      </c>
      <c r="L928" s="15"/>
    </row>
    <row r="929" spans="1:12" ht="29.25" customHeight="1" x14ac:dyDescent="0.25">
      <c r="A929" s="293" t="s">
        <v>785</v>
      </c>
      <c r="B929" s="257" t="s">
        <v>1082</v>
      </c>
      <c r="C929" s="154">
        <v>2023</v>
      </c>
      <c r="D929" s="120">
        <v>0.4</v>
      </c>
      <c r="E929" s="235">
        <v>1</v>
      </c>
      <c r="F929" s="97">
        <v>15</v>
      </c>
      <c r="G929" s="288">
        <v>46.62115</v>
      </c>
      <c r="L929" s="15"/>
    </row>
    <row r="930" spans="1:12" ht="29.25" customHeight="1" x14ac:dyDescent="0.25">
      <c r="A930" s="293" t="s">
        <v>785</v>
      </c>
      <c r="B930" s="257" t="s">
        <v>1083</v>
      </c>
      <c r="C930" s="154">
        <v>2023</v>
      </c>
      <c r="D930" s="120">
        <v>0.4</v>
      </c>
      <c r="E930" s="235">
        <v>1</v>
      </c>
      <c r="F930" s="97">
        <v>15</v>
      </c>
      <c r="G930" s="288">
        <v>98.943350000000009</v>
      </c>
      <c r="L930" s="15"/>
    </row>
    <row r="931" spans="1:12" ht="29.25" customHeight="1" x14ac:dyDescent="0.25">
      <c r="A931" s="293" t="s">
        <v>785</v>
      </c>
      <c r="B931" s="257" t="s">
        <v>1084</v>
      </c>
      <c r="C931" s="154">
        <v>2023</v>
      </c>
      <c r="D931" s="120">
        <v>0.4</v>
      </c>
      <c r="E931" s="235">
        <v>1</v>
      </c>
      <c r="F931" s="97">
        <v>15</v>
      </c>
      <c r="G931" s="288">
        <v>24.214549999999999</v>
      </c>
      <c r="L931" s="15"/>
    </row>
    <row r="932" spans="1:12" ht="29.25" customHeight="1" x14ac:dyDescent="0.25">
      <c r="A932" s="294" t="s">
        <v>785</v>
      </c>
      <c r="B932" s="257" t="s">
        <v>1085</v>
      </c>
      <c r="C932" s="154">
        <v>2023</v>
      </c>
      <c r="D932" s="120">
        <v>0.4</v>
      </c>
      <c r="E932" s="235">
        <v>1</v>
      </c>
      <c r="F932" s="250">
        <v>15</v>
      </c>
      <c r="G932" s="109">
        <v>44.55106</v>
      </c>
      <c r="L932" s="15"/>
    </row>
    <row r="933" spans="1:12" ht="29.25" customHeight="1" x14ac:dyDescent="0.25">
      <c r="A933" s="293" t="s">
        <v>785</v>
      </c>
      <c r="B933" s="257" t="s">
        <v>1086</v>
      </c>
      <c r="C933" s="154">
        <v>2023</v>
      </c>
      <c r="D933" s="120">
        <v>0.4</v>
      </c>
      <c r="E933" s="235">
        <v>1</v>
      </c>
      <c r="F933" s="250">
        <v>15</v>
      </c>
      <c r="G933" s="109">
        <v>30.339669999999998</v>
      </c>
      <c r="L933" s="15"/>
    </row>
    <row r="934" spans="1:12" ht="29.25" customHeight="1" x14ac:dyDescent="0.25">
      <c r="A934" s="294" t="s">
        <v>785</v>
      </c>
      <c r="B934" s="257" t="s">
        <v>1087</v>
      </c>
      <c r="C934" s="154">
        <v>2023</v>
      </c>
      <c r="D934" s="120">
        <v>0.4</v>
      </c>
      <c r="E934" s="235">
        <v>1</v>
      </c>
      <c r="F934" s="250">
        <v>15</v>
      </c>
      <c r="G934" s="109">
        <v>36.851690000000005</v>
      </c>
      <c r="L934" s="15"/>
    </row>
    <row r="935" spans="1:12" ht="29.25" customHeight="1" x14ac:dyDescent="0.25">
      <c r="A935" s="293" t="s">
        <v>785</v>
      </c>
      <c r="B935" s="257" t="s">
        <v>1088</v>
      </c>
      <c r="C935" s="154">
        <v>2023</v>
      </c>
      <c r="D935" s="120">
        <v>0.4</v>
      </c>
      <c r="E935" s="235">
        <v>1</v>
      </c>
      <c r="F935" s="250">
        <v>10</v>
      </c>
      <c r="G935" s="290">
        <v>25.712580000000003</v>
      </c>
      <c r="L935" s="15"/>
    </row>
    <row r="936" spans="1:12" ht="29.25" customHeight="1" x14ac:dyDescent="0.25">
      <c r="A936" s="293" t="s">
        <v>785</v>
      </c>
      <c r="B936" s="257" t="s">
        <v>1089</v>
      </c>
      <c r="C936" s="154">
        <v>2023</v>
      </c>
      <c r="D936" s="120">
        <v>0.4</v>
      </c>
      <c r="E936" s="235">
        <v>1</v>
      </c>
      <c r="F936" s="250">
        <v>10</v>
      </c>
      <c r="G936" s="290">
        <v>30.59674</v>
      </c>
      <c r="L936" s="15"/>
    </row>
    <row r="937" spans="1:12" ht="29.25" customHeight="1" x14ac:dyDescent="0.25">
      <c r="A937" s="293" t="s">
        <v>785</v>
      </c>
      <c r="B937" s="257" t="s">
        <v>1090</v>
      </c>
      <c r="C937" s="154">
        <v>2023</v>
      </c>
      <c r="D937" s="120">
        <v>0.4</v>
      </c>
      <c r="E937" s="235">
        <v>1</v>
      </c>
      <c r="F937" s="250">
        <v>15</v>
      </c>
      <c r="G937" s="290">
        <v>37.942430000000002</v>
      </c>
      <c r="L937" s="15"/>
    </row>
    <row r="938" spans="1:12" ht="29.25" customHeight="1" x14ac:dyDescent="0.25">
      <c r="A938" s="293" t="s">
        <v>785</v>
      </c>
      <c r="B938" s="257" t="s">
        <v>1091</v>
      </c>
      <c r="C938" s="154">
        <v>2023</v>
      </c>
      <c r="D938" s="120">
        <v>0.4</v>
      </c>
      <c r="E938" s="235">
        <v>1</v>
      </c>
      <c r="F938" s="250">
        <v>15</v>
      </c>
      <c r="G938" s="290">
        <v>25.12622</v>
      </c>
      <c r="L938" s="15"/>
    </row>
    <row r="939" spans="1:12" ht="29.25" customHeight="1" x14ac:dyDescent="0.25">
      <c r="A939" s="293" t="s">
        <v>785</v>
      </c>
      <c r="B939" s="257" t="s">
        <v>1092</v>
      </c>
      <c r="C939" s="154">
        <v>2023</v>
      </c>
      <c r="D939" s="120">
        <v>0.4</v>
      </c>
      <c r="E939" s="235">
        <v>1</v>
      </c>
      <c r="F939" s="97">
        <v>15</v>
      </c>
      <c r="G939" s="288">
        <v>37.334009999999999</v>
      </c>
      <c r="L939" s="15"/>
    </row>
    <row r="940" spans="1:12" ht="29.25" customHeight="1" x14ac:dyDescent="0.25">
      <c r="A940" s="293" t="s">
        <v>785</v>
      </c>
      <c r="B940" s="257" t="s">
        <v>1093</v>
      </c>
      <c r="C940" s="154">
        <v>2023</v>
      </c>
      <c r="D940" s="120">
        <v>0.4</v>
      </c>
      <c r="E940" s="235">
        <v>1</v>
      </c>
      <c r="F940" s="97">
        <v>15</v>
      </c>
      <c r="G940" s="288">
        <v>24.018720000000002</v>
      </c>
      <c r="L940" s="15"/>
    </row>
    <row r="941" spans="1:12" ht="29.25" customHeight="1" x14ac:dyDescent="0.25">
      <c r="A941" s="293" t="s">
        <v>785</v>
      </c>
      <c r="B941" s="257" t="s">
        <v>1094</v>
      </c>
      <c r="C941" s="154">
        <v>2023</v>
      </c>
      <c r="D941" s="120">
        <v>0.4</v>
      </c>
      <c r="E941" s="235">
        <v>1</v>
      </c>
      <c r="F941" s="97">
        <v>5</v>
      </c>
      <c r="G941" s="288">
        <v>22</v>
      </c>
      <c r="L941" s="15"/>
    </row>
    <row r="942" spans="1:12" ht="29.25" customHeight="1" x14ac:dyDescent="0.25">
      <c r="A942" s="293" t="s">
        <v>785</v>
      </c>
      <c r="B942" s="257" t="s">
        <v>1095</v>
      </c>
      <c r="C942" s="154">
        <v>2023</v>
      </c>
      <c r="D942" s="120">
        <v>0.4</v>
      </c>
      <c r="E942" s="235">
        <v>1</v>
      </c>
      <c r="F942" s="97">
        <v>15</v>
      </c>
      <c r="G942" s="288">
        <v>30.87191</v>
      </c>
      <c r="L942" s="15"/>
    </row>
    <row r="943" spans="1:12" ht="29.25" customHeight="1" x14ac:dyDescent="0.25">
      <c r="A943" s="293" t="s">
        <v>785</v>
      </c>
      <c r="B943" s="257" t="s">
        <v>1096</v>
      </c>
      <c r="C943" s="154">
        <v>2023</v>
      </c>
      <c r="D943" s="120">
        <v>0.4</v>
      </c>
      <c r="E943" s="235">
        <v>1</v>
      </c>
      <c r="F943" s="97">
        <v>15</v>
      </c>
      <c r="G943" s="288">
        <v>23.731759999999998</v>
      </c>
      <c r="L943" s="15"/>
    </row>
    <row r="944" spans="1:12" ht="29.25" customHeight="1" x14ac:dyDescent="0.25">
      <c r="A944" s="293" t="s">
        <v>785</v>
      </c>
      <c r="B944" s="257" t="s">
        <v>1097</v>
      </c>
      <c r="C944" s="154">
        <v>2023</v>
      </c>
      <c r="D944" s="120">
        <v>0.4</v>
      </c>
      <c r="E944" s="235">
        <v>1</v>
      </c>
      <c r="F944" s="97">
        <v>15</v>
      </c>
      <c r="G944" s="288">
        <v>25.422840000000001</v>
      </c>
      <c r="L944" s="15"/>
    </row>
    <row r="945" spans="1:12" ht="29.25" customHeight="1" x14ac:dyDescent="0.25">
      <c r="A945" s="293" t="s">
        <v>785</v>
      </c>
      <c r="B945" s="257" t="s">
        <v>1097</v>
      </c>
      <c r="C945" s="154">
        <v>2023</v>
      </c>
      <c r="D945" s="120">
        <v>0.4</v>
      </c>
      <c r="E945" s="235">
        <v>1</v>
      </c>
      <c r="F945" s="97">
        <v>15</v>
      </c>
      <c r="G945" s="288">
        <v>25.422840000000001</v>
      </c>
      <c r="L945" s="15"/>
    </row>
    <row r="946" spans="1:12" ht="29.25" customHeight="1" x14ac:dyDescent="0.25">
      <c r="A946" s="293" t="s">
        <v>785</v>
      </c>
      <c r="B946" s="257" t="s">
        <v>1098</v>
      </c>
      <c r="C946" s="154">
        <v>2023</v>
      </c>
      <c r="D946" s="120">
        <v>0.4</v>
      </c>
      <c r="E946" s="235">
        <v>1</v>
      </c>
      <c r="F946" s="97">
        <v>5</v>
      </c>
      <c r="G946" s="288">
        <v>43.325069999999997</v>
      </c>
      <c r="L946" s="15"/>
    </row>
    <row r="947" spans="1:12" ht="29.25" customHeight="1" x14ac:dyDescent="0.25">
      <c r="A947" s="293" t="s">
        <v>785</v>
      </c>
      <c r="B947" s="257" t="s">
        <v>1099</v>
      </c>
      <c r="C947" s="154">
        <v>2023</v>
      </c>
      <c r="D947" s="120">
        <v>0.4</v>
      </c>
      <c r="E947" s="235">
        <v>1</v>
      </c>
      <c r="F947" s="97">
        <v>15</v>
      </c>
      <c r="G947" s="288">
        <v>46.792470000000002</v>
      </c>
      <c r="L947" s="15"/>
    </row>
    <row r="948" spans="1:12" ht="29.25" customHeight="1" x14ac:dyDescent="0.25">
      <c r="A948" s="293" t="s">
        <v>785</v>
      </c>
      <c r="B948" s="257" t="s">
        <v>1100</v>
      </c>
      <c r="C948" s="154">
        <v>2023</v>
      </c>
      <c r="D948" s="120">
        <v>0.4</v>
      </c>
      <c r="E948" s="235">
        <v>1</v>
      </c>
      <c r="F948" s="97">
        <v>15</v>
      </c>
      <c r="G948" s="288">
        <v>45.8</v>
      </c>
      <c r="L948" s="15"/>
    </row>
    <row r="949" spans="1:12" ht="29.25" customHeight="1" x14ac:dyDescent="0.25">
      <c r="A949" s="293" t="s">
        <v>785</v>
      </c>
      <c r="B949" s="257" t="s">
        <v>1101</v>
      </c>
      <c r="C949" s="154">
        <v>2023</v>
      </c>
      <c r="D949" s="120">
        <v>0.4</v>
      </c>
      <c r="E949" s="235">
        <v>1</v>
      </c>
      <c r="F949" s="270">
        <v>8</v>
      </c>
      <c r="G949" s="288">
        <v>34.62941</v>
      </c>
      <c r="L949" s="15"/>
    </row>
    <row r="950" spans="1:12" ht="29.25" customHeight="1" x14ac:dyDescent="0.25">
      <c r="A950" s="293" t="s">
        <v>786</v>
      </c>
      <c r="B950" s="257" t="s">
        <v>1102</v>
      </c>
      <c r="C950" s="154">
        <v>2023</v>
      </c>
      <c r="D950" s="120">
        <v>0.4</v>
      </c>
      <c r="E950" s="235">
        <v>1</v>
      </c>
      <c r="F950" s="97">
        <v>141.49</v>
      </c>
      <c r="G950" s="288">
        <v>90.335080000000005</v>
      </c>
      <c r="L950" s="15"/>
    </row>
    <row r="951" spans="1:12" ht="29.25" customHeight="1" x14ac:dyDescent="0.25">
      <c r="A951" s="293" t="s">
        <v>786</v>
      </c>
      <c r="B951" s="257" t="s">
        <v>1103</v>
      </c>
      <c r="C951" s="154">
        <v>2023</v>
      </c>
      <c r="D951" s="120">
        <v>0.4</v>
      </c>
      <c r="E951" s="235">
        <v>1</v>
      </c>
      <c r="F951" s="97">
        <v>140</v>
      </c>
      <c r="G951" s="288">
        <v>79.718759999999989</v>
      </c>
      <c r="L951" s="15"/>
    </row>
    <row r="952" spans="1:12" ht="29.25" customHeight="1" x14ac:dyDescent="0.25">
      <c r="A952" s="293" t="s">
        <v>786</v>
      </c>
      <c r="B952" s="257" t="s">
        <v>1104</v>
      </c>
      <c r="C952" s="154">
        <v>2023</v>
      </c>
      <c r="D952" s="120">
        <v>0.4</v>
      </c>
      <c r="E952" s="235">
        <v>1</v>
      </c>
      <c r="F952" s="97">
        <v>70</v>
      </c>
      <c r="G952" s="288">
        <v>41.427230000000002</v>
      </c>
      <c r="L952" s="15"/>
    </row>
    <row r="953" spans="1:12" ht="29.25" customHeight="1" x14ac:dyDescent="0.25">
      <c r="A953" s="293" t="s">
        <v>786</v>
      </c>
      <c r="B953" s="257" t="s">
        <v>1101</v>
      </c>
      <c r="C953" s="154">
        <v>2023</v>
      </c>
      <c r="D953" s="120">
        <v>0.4</v>
      </c>
      <c r="E953" s="235">
        <v>1</v>
      </c>
      <c r="F953" s="97">
        <v>35</v>
      </c>
      <c r="G953" s="288">
        <v>34.62941</v>
      </c>
      <c r="L953" s="15"/>
    </row>
    <row r="954" spans="1:12" ht="29.25" customHeight="1" x14ac:dyDescent="0.25">
      <c r="A954" s="293" t="s">
        <v>786</v>
      </c>
      <c r="B954" s="257" t="s">
        <v>1105</v>
      </c>
      <c r="C954" s="154">
        <v>2023</v>
      </c>
      <c r="D954" s="120">
        <v>0.4</v>
      </c>
      <c r="E954" s="235">
        <v>1</v>
      </c>
      <c r="F954" s="97">
        <v>130</v>
      </c>
      <c r="G954" s="288">
        <v>15.37355</v>
      </c>
      <c r="L954" s="15"/>
    </row>
    <row r="955" spans="1:12" ht="29.25" customHeight="1" x14ac:dyDescent="0.25">
      <c r="A955" s="293" t="s">
        <v>786</v>
      </c>
      <c r="B955" s="257" t="s">
        <v>1106</v>
      </c>
      <c r="C955" s="154">
        <v>2023</v>
      </c>
      <c r="D955" s="120">
        <v>0.4</v>
      </c>
      <c r="E955" s="235">
        <v>1</v>
      </c>
      <c r="F955" s="97">
        <v>100</v>
      </c>
      <c r="G955" s="288">
        <v>35.668610000000001</v>
      </c>
      <c r="L955" s="15"/>
    </row>
    <row r="956" spans="1:12" ht="29.25" customHeight="1" x14ac:dyDescent="0.25">
      <c r="A956" s="294" t="s">
        <v>786</v>
      </c>
      <c r="B956" s="257" t="s">
        <v>1107</v>
      </c>
      <c r="C956" s="120">
        <v>2023</v>
      </c>
      <c r="D956" s="120">
        <v>0.4</v>
      </c>
      <c r="E956" s="235">
        <v>1</v>
      </c>
      <c r="F956" s="97">
        <v>100</v>
      </c>
      <c r="G956" s="109">
        <v>39.085279999999997</v>
      </c>
      <c r="L956" s="15"/>
    </row>
    <row r="957" spans="1:12" ht="29.25" customHeight="1" thickBot="1" x14ac:dyDescent="0.3">
      <c r="A957" s="295" t="s">
        <v>786</v>
      </c>
      <c r="B957" s="257" t="s">
        <v>1108</v>
      </c>
      <c r="C957" s="275">
        <v>2023</v>
      </c>
      <c r="D957" s="275">
        <v>0.4</v>
      </c>
      <c r="E957" s="235">
        <v>1</v>
      </c>
      <c r="F957" s="291">
        <v>150</v>
      </c>
      <c r="G957" s="292">
        <v>21.233029999999999</v>
      </c>
      <c r="L957" s="15">
        <f t="shared" ref="L957" si="0">G957/1000</f>
        <v>2.123303E-2</v>
      </c>
    </row>
    <row r="958" spans="1:12" ht="34.5" customHeight="1" x14ac:dyDescent="0.25"/>
    <row r="959" spans="1:12" ht="28.5" customHeight="1" x14ac:dyDescent="0.25"/>
    <row r="962" spans="1:6" ht="15.6" customHeight="1" x14ac:dyDescent="0.25">
      <c r="A962" s="234" t="s">
        <v>3</v>
      </c>
      <c r="B962" s="234"/>
      <c r="C962" s="234"/>
      <c r="D962" s="8"/>
      <c r="E962" s="8"/>
      <c r="F962" s="6" t="s">
        <v>2</v>
      </c>
    </row>
    <row r="963" spans="1:6" x14ac:dyDescent="0.25">
      <c r="A963" s="10"/>
      <c r="B963" s="9"/>
      <c r="C963" s="8"/>
      <c r="D963" s="8"/>
      <c r="E963" s="8"/>
      <c r="F963" s="8"/>
    </row>
    <row r="964" spans="1:6" ht="15.6" customHeight="1" x14ac:dyDescent="0.25">
      <c r="A964" s="234" t="s">
        <v>1</v>
      </c>
      <c r="B964" s="234"/>
      <c r="C964" s="234"/>
      <c r="D964" s="8"/>
      <c r="E964" s="8"/>
      <c r="F964" s="6" t="s">
        <v>0</v>
      </c>
    </row>
  </sheetData>
  <autoFilter ref="A5:G700" xr:uid="{00000000-0009-0000-0000-000003000000}"/>
  <printOptions horizontalCentered="1"/>
  <pageMargins left="0.39370078740157483" right="0.39370078740157483" top="0.78740157480314965" bottom="0.39370078740157483" header="0.31496062992125984" footer="0.31496062992125984"/>
  <pageSetup paperSize="9" scale="10" orientation="landscape" r:id="rId1"/>
  <rowBreaks count="2" manualBreakCount="2">
    <brk id="34" max="10" man="1"/>
    <brk id="25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Отчет 20-22 (изн</vt:lpstr>
      <vt:lpstr>Отчет 20-22 в тыс</vt:lpstr>
      <vt:lpstr>Отчет 20-22 в тыс.не объед</vt:lpstr>
      <vt:lpstr>Приложение 1 (2)</vt:lpstr>
      <vt:lpstr>Приложение 1</vt:lpstr>
      <vt:lpstr>'Отчет 20-22 (изн'!Область_печати</vt:lpstr>
      <vt:lpstr>'Отчет 20-22 в тыс'!Область_печати</vt:lpstr>
      <vt:lpstr>'Отчет 20-22 в тыс.не объед'!Область_печати</vt:lpstr>
      <vt:lpstr>'Приложение 1'!Область_печати</vt:lpstr>
      <vt:lpstr>'Приложение 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техприс</dc:creator>
  <cp:lastModifiedBy>Евгений Сосненко</cp:lastModifiedBy>
  <cp:lastPrinted>2025-08-08T12:34:36Z</cp:lastPrinted>
  <dcterms:created xsi:type="dcterms:W3CDTF">2015-06-05T18:19:34Z</dcterms:created>
  <dcterms:modified xsi:type="dcterms:W3CDTF">2025-08-12T08:33:31Z</dcterms:modified>
</cp:coreProperties>
</file>